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calibercompanies.sharepoint.com/sites/FinancialReporting/Shared Documents/PLATFORM Financial Results/2025.09/"/>
    </mc:Choice>
  </mc:AlternateContent>
  <xr:revisionPtr revIDLastSave="670" documentId="8_{F2034EA3-CAB9-4D71-AA05-6C2C1F654D0A}" xr6:coauthVersionLast="47" xr6:coauthVersionMax="47" xr10:uidLastSave="{8145ADAB-4F8A-40F2-8F81-E287844FB0F5}"/>
  <bookViews>
    <workbookView xWindow="-28920" yWindow="180" windowWidth="29040" windowHeight="15720" tabRatio="910" xr2:uid="{75DCBEE6-2891-4E65-A7DB-2069A53B4224}"/>
  </bookViews>
  <sheets>
    <sheet name="Overview" sheetId="63" r:id="rId1"/>
    <sheet name="IS - Annual" sheetId="58" r:id="rId2"/>
    <sheet name="Annual Chart" sheetId="59" r:id="rId3"/>
    <sheet name="IS - Quarterly" sheetId="57" r:id="rId4"/>
    <sheet name="Quarterly Chart" sheetId="60" r:id="rId5"/>
    <sheet name="Balance Sheet" sheetId="56" r:id="rId6"/>
    <sheet name="BS Non-GAAP Recon&gt;&gt;&gt;" sheetId="23" r:id="rId7"/>
    <sheet name="BS 2019 to 2022" sheetId="55" r:id="rId8"/>
    <sheet name="BS 2023 Quarterly" sheetId="51" r:id="rId9"/>
    <sheet name="BS 2024 Quarterly" sheetId="47" r:id="rId10"/>
    <sheet name="BS 2025 Quarterly" sheetId="64" r:id="rId11"/>
    <sheet name="IS Non-GAAP Recon&gt;&gt;&gt;" sheetId="5" r:id="rId12"/>
    <sheet name="EBITDA" sheetId="34" r:id="rId13"/>
    <sheet name="IS 2019 to 2021" sheetId="13" r:id="rId14"/>
    <sheet name="IS 2022 to 2023" sheetId="62" r:id="rId15"/>
    <sheet name="IS 2023 Quarterly" sheetId="22" r:id="rId16"/>
    <sheet name="IS 2024 Quarterly" sheetId="18" r:id="rId17"/>
    <sheet name="IS 2025 Quarterly" sheetId="65" r:id="rId18"/>
  </sheets>
  <definedNames>
    <definedName name="_xlnm.Print_Area" localSheetId="2">'Annual Chart'!$A$2:$J$51</definedName>
    <definedName name="_xlnm.Print_Area" localSheetId="5">'Balance Sheet'!$A$1:$P$31</definedName>
    <definedName name="_xlnm.Print_Area" localSheetId="12">EBITDA!$A$1:$Q$27</definedName>
    <definedName name="_xlnm.Print_Area" localSheetId="1">'IS - Annual'!$A$1:$I$46</definedName>
    <definedName name="_xlnm.Print_Area" localSheetId="3">'IS - Quarterly'!$A$1:$M$47</definedName>
    <definedName name="_xlnm.Print_Area" localSheetId="13">'IS 2019 to 2021'!$A$1:$R$38</definedName>
    <definedName name="_xlnm.Print_Area" localSheetId="14">'IS 2022 to 2023'!$A$1:$L$38</definedName>
    <definedName name="_xlnm.Print_Area" localSheetId="4">'Quarterly Chart'!$A$1:$J$49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8" l="1"/>
  <c r="H38" i="58"/>
  <c r="H37" i="58"/>
  <c r="I42" i="58"/>
  <c r="I39" i="58"/>
  <c r="I38" i="58"/>
  <c r="I40" i="58" s="1"/>
  <c r="I37" i="58"/>
  <c r="I36" i="58"/>
  <c r="I34" i="58"/>
  <c r="I33" i="58"/>
  <c r="I27" i="58"/>
  <c r="I28" i="58"/>
  <c r="I24" i="58"/>
  <c r="I21" i="58"/>
  <c r="I20" i="58"/>
  <c r="I17" i="58"/>
  <c r="I19" i="58"/>
  <c r="I18" i="58"/>
  <c r="I13" i="58"/>
  <c r="I15" i="58" s="1"/>
  <c r="I12" i="58"/>
  <c r="I11" i="58"/>
  <c r="I10" i="58"/>
  <c r="I6" i="58"/>
  <c r="I5" i="58"/>
  <c r="H17" i="58"/>
  <c r="H15" i="58"/>
  <c r="H23" i="58" s="1"/>
  <c r="H26" i="58" s="1"/>
  <c r="H7" i="58"/>
  <c r="Q11" i="34"/>
  <c r="Q8" i="34"/>
  <c r="Q9" i="34"/>
  <c r="P8" i="34"/>
  <c r="H40" i="58" l="1"/>
  <c r="I7" i="58"/>
  <c r="I23" i="58"/>
  <c r="I26" i="58" s="1"/>
  <c r="H33" i="58"/>
  <c r="H27" i="58"/>
  <c r="H34" i="58"/>
  <c r="Q13" i="34"/>
  <c r="P5" i="34"/>
  <c r="P7" i="34" s="1"/>
  <c r="R32" i="65"/>
  <c r="P30" i="65"/>
  <c r="P25" i="64"/>
  <c r="N27" i="64"/>
  <c r="P23" i="56"/>
  <c r="P24" i="56"/>
  <c r="P9" i="34" l="1"/>
  <c r="P13" i="34" s="1"/>
  <c r="P27" i="34" s="1"/>
  <c r="R33" i="65" l="1"/>
  <c r="P7" i="65"/>
  <c r="P6" i="65"/>
  <c r="P5" i="65"/>
  <c r="P4" i="65"/>
  <c r="P29" i="65"/>
  <c r="P25" i="65"/>
  <c r="P24" i="65"/>
  <c r="P23" i="65"/>
  <c r="P22" i="65"/>
  <c r="P20" i="65"/>
  <c r="P19" i="65"/>
  <c r="P16" i="65"/>
  <c r="P15" i="65"/>
  <c r="P14" i="65"/>
  <c r="P13" i="65"/>
  <c r="P12" i="65"/>
  <c r="P11" i="65"/>
  <c r="J20" i="65"/>
  <c r="D20" i="65"/>
  <c r="R27" i="64"/>
  <c r="R15" i="64"/>
  <c r="P15" i="64" s="1"/>
  <c r="R19" i="64"/>
  <c r="R18" i="64"/>
  <c r="P18" i="64" s="1"/>
  <c r="R16" i="64"/>
  <c r="P16" i="64" s="1"/>
  <c r="R11" i="64"/>
  <c r="P11" i="64" s="1"/>
  <c r="R10" i="64"/>
  <c r="P10" i="64" s="1"/>
  <c r="R9" i="64"/>
  <c r="R7" i="64"/>
  <c r="R5" i="64"/>
  <c r="P5" i="64" s="1"/>
  <c r="R4" i="64"/>
  <c r="P4" i="64" s="1"/>
  <c r="P24" i="64"/>
  <c r="P23" i="64"/>
  <c r="P22" i="64"/>
  <c r="P19" i="64"/>
  <c r="N28" i="64"/>
  <c r="J24" i="64"/>
  <c r="H7" i="64"/>
  <c r="N16" i="64"/>
  <c r="N4" i="64"/>
  <c r="N7" i="64"/>
  <c r="P7" i="64" s="1"/>
  <c r="P9" i="64"/>
  <c r="P6" i="64"/>
  <c r="J6" i="64"/>
  <c r="D6" i="64"/>
  <c r="P15" i="56"/>
  <c r="P10" i="56"/>
  <c r="P7" i="56"/>
  <c r="C17" i="58"/>
  <c r="D17" i="58"/>
  <c r="E17" i="58"/>
  <c r="F17" i="58"/>
  <c r="G17" i="58"/>
  <c r="P17" i="65" l="1"/>
  <c r="M27" i="57" l="1"/>
  <c r="E23" i="57" l="1"/>
  <c r="F23" i="57"/>
  <c r="G23" i="57"/>
  <c r="H23" i="57"/>
  <c r="I23" i="57"/>
  <c r="J23" i="57"/>
  <c r="K23" i="57"/>
  <c r="L23" i="57"/>
  <c r="M23" i="57"/>
  <c r="O15" i="56"/>
  <c r="O16" i="56" s="1"/>
  <c r="O7" i="56"/>
  <c r="O11" i="56" s="1"/>
  <c r="L40" i="57"/>
  <c r="L27" i="57"/>
  <c r="L15" i="57"/>
  <c r="L7" i="57"/>
  <c r="M15" i="57"/>
  <c r="M40" i="57"/>
  <c r="Q5" i="34"/>
  <c r="Q7" i="34" s="1"/>
  <c r="L26" i="57" l="1"/>
  <c r="O20" i="56"/>
  <c r="O23" i="56"/>
  <c r="O24" i="56"/>
  <c r="L33" i="57"/>
  <c r="L34" i="57"/>
  <c r="Q27" i="34"/>
  <c r="J29" i="65" l="1"/>
  <c r="J25" i="65"/>
  <c r="J24" i="65"/>
  <c r="J23" i="65"/>
  <c r="J22" i="65"/>
  <c r="J19" i="65"/>
  <c r="J16" i="65"/>
  <c r="J15" i="65"/>
  <c r="J14" i="65"/>
  <c r="J13" i="65"/>
  <c r="J12" i="65"/>
  <c r="J11" i="65"/>
  <c r="J7" i="65"/>
  <c r="J6" i="65"/>
  <c r="J5" i="65"/>
  <c r="J4" i="65"/>
  <c r="J8" i="65" s="1"/>
  <c r="X26" i="65"/>
  <c r="X28" i="65" s="1"/>
  <c r="X30" i="65" s="1"/>
  <c r="V26" i="65"/>
  <c r="V28" i="65" s="1"/>
  <c r="V30" i="65" s="1"/>
  <c r="X17" i="65"/>
  <c r="V17" i="65"/>
  <c r="T17" i="65"/>
  <c r="R17" i="65"/>
  <c r="N17" i="65"/>
  <c r="L17" i="65"/>
  <c r="H17" i="65"/>
  <c r="H26" i="65" s="1"/>
  <c r="H28" i="65" s="1"/>
  <c r="H30" i="65" s="1"/>
  <c r="H33" i="65" s="1"/>
  <c r="X8" i="65"/>
  <c r="V8" i="65"/>
  <c r="T8" i="65"/>
  <c r="T26" i="65" s="1"/>
  <c r="T28" i="65" s="1"/>
  <c r="T30" i="65" s="1"/>
  <c r="R8" i="65"/>
  <c r="P8" i="65"/>
  <c r="N8" i="65"/>
  <c r="L8" i="65"/>
  <c r="H8" i="65"/>
  <c r="J5" i="64"/>
  <c r="J23" i="64"/>
  <c r="J22" i="64"/>
  <c r="J18" i="64"/>
  <c r="J16" i="64"/>
  <c r="J15" i="64"/>
  <c r="J10" i="64"/>
  <c r="J9" i="64"/>
  <c r="L19" i="64"/>
  <c r="J19" i="64" s="1"/>
  <c r="L16" i="64"/>
  <c r="L11" i="64"/>
  <c r="J11" i="64" s="1"/>
  <c r="L9" i="64"/>
  <c r="L7" i="64"/>
  <c r="L4" i="64"/>
  <c r="J4" i="64" s="1"/>
  <c r="H16" i="64"/>
  <c r="H20" i="64" s="1"/>
  <c r="H25" i="64" s="1"/>
  <c r="X25" i="64"/>
  <c r="X20" i="64"/>
  <c r="V20" i="64"/>
  <c r="V25" i="64" s="1"/>
  <c r="T20" i="64"/>
  <c r="T25" i="64" s="1"/>
  <c r="R20" i="64"/>
  <c r="P20" i="64"/>
  <c r="N20" i="64"/>
  <c r="N25" i="64" s="1"/>
  <c r="X12" i="64"/>
  <c r="V12" i="64"/>
  <c r="T12" i="64"/>
  <c r="R12" i="64"/>
  <c r="P12" i="64"/>
  <c r="N12" i="64"/>
  <c r="H4" i="64"/>
  <c r="N26" i="65" l="1"/>
  <c r="N28" i="65" s="1"/>
  <c r="N30" i="65" s="1"/>
  <c r="P26" i="65"/>
  <c r="P28" i="65" s="1"/>
  <c r="J17" i="65"/>
  <c r="J26" i="65"/>
  <c r="J28" i="65" s="1"/>
  <c r="J30" i="65" s="1"/>
  <c r="R26" i="65"/>
  <c r="R28" i="65" s="1"/>
  <c r="R30" i="65" s="1"/>
  <c r="R25" i="64"/>
  <c r="R28" i="64"/>
  <c r="P27" i="64"/>
  <c r="P28" i="64"/>
  <c r="J7" i="64"/>
  <c r="J12" i="64" s="1"/>
  <c r="J28" i="64" s="1"/>
  <c r="J20" i="64"/>
  <c r="L26" i="65"/>
  <c r="L28" i="65" s="1"/>
  <c r="L30" i="65" s="1"/>
  <c r="L32" i="65" s="1"/>
  <c r="H32" i="65"/>
  <c r="J27" i="64"/>
  <c r="J25" i="64"/>
  <c r="L20" i="64"/>
  <c r="L25" i="64" s="1"/>
  <c r="L27" i="64"/>
  <c r="L12" i="64"/>
  <c r="L28" i="64" s="1"/>
  <c r="H27" i="64"/>
  <c r="N33" i="65" l="1"/>
  <c r="N32" i="65"/>
  <c r="H12" i="64"/>
  <c r="H28" i="64" s="1"/>
  <c r="L33" i="65"/>
  <c r="N16" i="56" l="1"/>
  <c r="N23" i="56" s="1"/>
  <c r="N7" i="56"/>
  <c r="N11" i="56" s="1"/>
  <c r="N24" i="56" s="1"/>
  <c r="N20" i="56" l="1"/>
  <c r="H7" i="57" l="1"/>
  <c r="I7" i="57"/>
  <c r="K40" i="57"/>
  <c r="K10" i="57"/>
  <c r="K7" i="57"/>
  <c r="C31" i="58"/>
  <c r="C30" i="58"/>
  <c r="F31" i="58"/>
  <c r="K15" i="57" l="1"/>
  <c r="K26" i="57" s="1"/>
  <c r="B27" i="64"/>
  <c r="F27" i="64"/>
  <c r="F12" i="64"/>
  <c r="F17" i="65"/>
  <c r="F8" i="65"/>
  <c r="B17" i="65"/>
  <c r="B8" i="65"/>
  <c r="B26" i="65" s="1"/>
  <c r="D24" i="64"/>
  <c r="D23" i="64"/>
  <c r="D22" i="64"/>
  <c r="D19" i="64"/>
  <c r="D18" i="64"/>
  <c r="D16" i="64"/>
  <c r="D15" i="64"/>
  <c r="D9" i="64"/>
  <c r="D10" i="64"/>
  <c r="D11" i="64"/>
  <c r="D5" i="64"/>
  <c r="D7" i="64"/>
  <c r="D4" i="64"/>
  <c r="D29" i="65"/>
  <c r="D25" i="65"/>
  <c r="D24" i="65"/>
  <c r="D23" i="65"/>
  <c r="D22" i="65"/>
  <c r="D19" i="65"/>
  <c r="D16" i="65"/>
  <c r="D15" i="65"/>
  <c r="D14" i="65"/>
  <c r="D13" i="65"/>
  <c r="D12" i="65"/>
  <c r="D11" i="65"/>
  <c r="D7" i="65"/>
  <c r="D6" i="65"/>
  <c r="D5" i="65"/>
  <c r="D4" i="65"/>
  <c r="F20" i="64"/>
  <c r="F25" i="64" s="1"/>
  <c r="B20" i="64"/>
  <c r="B25" i="64" s="1"/>
  <c r="B12" i="64"/>
  <c r="B28" i="64" s="1"/>
  <c r="O5" i="34"/>
  <c r="O7" i="34" s="1"/>
  <c r="O9" i="34" s="1"/>
  <c r="O13" i="34" s="1"/>
  <c r="O27" i="34" s="1"/>
  <c r="P11" i="56"/>
  <c r="P16" i="56"/>
  <c r="P20" i="56" s="1"/>
  <c r="F28" i="64" l="1"/>
  <c r="K33" i="57"/>
  <c r="K34" i="57"/>
  <c r="D20" i="64"/>
  <c r="D12" i="64"/>
  <c r="F26" i="65"/>
  <c r="F28" i="65" s="1"/>
  <c r="F30" i="65" s="1"/>
  <c r="B28" i="65"/>
  <c r="B30" i="65" s="1"/>
  <c r="B32" i="65" s="1"/>
  <c r="D17" i="65"/>
  <c r="D8" i="65"/>
  <c r="D28" i="64" l="1"/>
  <c r="D27" i="64"/>
  <c r="F33" i="65"/>
  <c r="F32" i="65"/>
  <c r="D25" i="64"/>
  <c r="B33" i="65"/>
  <c r="D26" i="65"/>
  <c r="D28" i="65" s="1"/>
  <c r="D30" i="65" s="1"/>
  <c r="M7" i="57" l="1"/>
  <c r="M26" i="57" l="1"/>
  <c r="M33" i="57" s="1"/>
  <c r="M34" i="57" l="1"/>
  <c r="V4" i="18"/>
  <c r="X29" i="18"/>
  <c r="X25" i="18"/>
  <c r="V25" i="18"/>
  <c r="T25" i="18"/>
  <c r="T17" i="18"/>
  <c r="V23" i="18"/>
  <c r="R32" i="18"/>
  <c r="R31" i="18"/>
  <c r="X8" i="18"/>
  <c r="T8" i="18"/>
  <c r="X17" i="18"/>
  <c r="V28" i="18"/>
  <c r="V24" i="18"/>
  <c r="V22" i="18"/>
  <c r="V21" i="18"/>
  <c r="V19" i="18"/>
  <c r="V16" i="18"/>
  <c r="V15" i="18"/>
  <c r="V14" i="18"/>
  <c r="V13" i="18"/>
  <c r="V12" i="18"/>
  <c r="V11" i="18"/>
  <c r="V7" i="18"/>
  <c r="V6" i="18"/>
  <c r="V5" i="18"/>
  <c r="N5" i="34"/>
  <c r="N7" i="34" s="1"/>
  <c r="N9" i="34" s="1"/>
  <c r="N13" i="34" s="1"/>
  <c r="N27" i="34" s="1"/>
  <c r="V22" i="47"/>
  <c r="V21" i="47"/>
  <c r="V18" i="47"/>
  <c r="V17" i="47"/>
  <c r="V15" i="47"/>
  <c r="V14" i="47"/>
  <c r="V10" i="47"/>
  <c r="V9" i="47"/>
  <c r="V8" i="47"/>
  <c r="V6" i="47"/>
  <c r="V5" i="47"/>
  <c r="V4" i="47"/>
  <c r="X23" i="47"/>
  <c r="T23" i="47"/>
  <c r="R27" i="47"/>
  <c r="R26" i="47"/>
  <c r="P27" i="47"/>
  <c r="P26" i="47"/>
  <c r="N27" i="47"/>
  <c r="N26" i="47"/>
  <c r="L27" i="47"/>
  <c r="L26" i="47"/>
  <c r="J27" i="47"/>
  <c r="J26" i="47"/>
  <c r="H27" i="47"/>
  <c r="H26" i="47"/>
  <c r="D26" i="47"/>
  <c r="X11" i="47"/>
  <c r="X19" i="47"/>
  <c r="X26" i="47" s="1"/>
  <c r="T19" i="47"/>
  <c r="T26" i="47" s="1"/>
  <c r="T11" i="47"/>
  <c r="M16" i="56"/>
  <c r="M20" i="56" s="1"/>
  <c r="M11" i="56"/>
  <c r="L24" i="56"/>
  <c r="L23" i="56"/>
  <c r="T27" i="18" l="1"/>
  <c r="T29" i="18" s="1"/>
  <c r="X27" i="18"/>
  <c r="X31" i="18" s="1"/>
  <c r="V17" i="18"/>
  <c r="V8" i="18"/>
  <c r="X24" i="47"/>
  <c r="V23" i="47"/>
  <c r="V19" i="47"/>
  <c r="V26" i="47" s="1"/>
  <c r="T24" i="47"/>
  <c r="T27" i="47"/>
  <c r="V11" i="47"/>
  <c r="X27" i="47"/>
  <c r="T32" i="18" l="1"/>
  <c r="T31" i="18"/>
  <c r="V27" i="18"/>
  <c r="V29" i="18" s="1"/>
  <c r="X32" i="18"/>
  <c r="V24" i="47"/>
  <c r="V27" i="47"/>
  <c r="D40" i="58" l="1"/>
  <c r="E40" i="58"/>
  <c r="F40" i="58"/>
  <c r="G40" i="58"/>
  <c r="C40" i="58"/>
  <c r="G36" i="58"/>
  <c r="G15" i="58"/>
  <c r="G7" i="58"/>
  <c r="G23" i="58" s="1"/>
  <c r="G26" i="58" s="1"/>
  <c r="J15" i="57"/>
  <c r="G34" i="58" l="1"/>
  <c r="G27" i="58"/>
  <c r="G33" i="58"/>
  <c r="D40" i="57"/>
  <c r="E40" i="57"/>
  <c r="F40" i="57"/>
  <c r="G40" i="57"/>
  <c r="H40" i="57"/>
  <c r="I40" i="57"/>
  <c r="J40" i="57"/>
  <c r="C40" i="57"/>
  <c r="I15" i="57" l="1"/>
  <c r="J7" i="57"/>
  <c r="F36" i="57"/>
  <c r="F15" i="57"/>
  <c r="C15" i="57"/>
  <c r="E21" i="58"/>
  <c r="D21" i="58"/>
  <c r="C21" i="58"/>
  <c r="E18" i="58"/>
  <c r="F15" i="58"/>
  <c r="E13" i="58"/>
  <c r="D13" i="58"/>
  <c r="C13" i="58"/>
  <c r="E12" i="58"/>
  <c r="D12" i="58"/>
  <c r="C12" i="58"/>
  <c r="E11" i="58"/>
  <c r="D11" i="58"/>
  <c r="C11" i="58"/>
  <c r="E10" i="58"/>
  <c r="D10" i="58"/>
  <c r="C10" i="58"/>
  <c r="F7" i="58"/>
  <c r="E5" i="58"/>
  <c r="E7" i="58" s="1"/>
  <c r="D5" i="58"/>
  <c r="D7" i="58" s="1"/>
  <c r="C5" i="58"/>
  <c r="C7" i="58" s="1"/>
  <c r="H15" i="57"/>
  <c r="G15" i="57"/>
  <c r="E15" i="57"/>
  <c r="D15" i="57"/>
  <c r="G7" i="57"/>
  <c r="E7" i="57"/>
  <c r="D7" i="57"/>
  <c r="C7" i="57"/>
  <c r="B24" i="56"/>
  <c r="B23" i="56"/>
  <c r="K24" i="56"/>
  <c r="J24" i="56"/>
  <c r="I24" i="56"/>
  <c r="H24" i="56"/>
  <c r="G24" i="56"/>
  <c r="F24" i="56"/>
  <c r="E24" i="56"/>
  <c r="M24" i="56"/>
  <c r="K23" i="56"/>
  <c r="J23" i="56"/>
  <c r="I23" i="56"/>
  <c r="H23" i="56"/>
  <c r="G23" i="56"/>
  <c r="F23" i="56"/>
  <c r="E23" i="56"/>
  <c r="M23" i="56"/>
  <c r="F27" i="51"/>
  <c r="D27" i="51"/>
  <c r="B27" i="51"/>
  <c r="F26" i="51"/>
  <c r="D26" i="51"/>
  <c r="B26" i="51"/>
  <c r="J26" i="57" l="1"/>
  <c r="J27" i="57" s="1"/>
  <c r="I26" i="57"/>
  <c r="I27" i="57" s="1"/>
  <c r="D23" i="57"/>
  <c r="D26" i="57" s="1"/>
  <c r="D27" i="57" s="1"/>
  <c r="C23" i="57"/>
  <c r="C26" i="57" s="1"/>
  <c r="C27" i="57" s="1"/>
  <c r="E26" i="57"/>
  <c r="E27" i="57" s="1"/>
  <c r="H26" i="57"/>
  <c r="H33" i="57" s="1"/>
  <c r="G26" i="57"/>
  <c r="G27" i="57" s="1"/>
  <c r="C15" i="58"/>
  <c r="C23" i="58" s="1"/>
  <c r="C26" i="58" s="1"/>
  <c r="C33" i="58" s="1"/>
  <c r="F23" i="58"/>
  <c r="F26" i="58" s="1"/>
  <c r="F33" i="58" s="1"/>
  <c r="D15" i="58"/>
  <c r="D23" i="58" s="1"/>
  <c r="D26" i="58" s="1"/>
  <c r="E15" i="58"/>
  <c r="E23" i="58" s="1"/>
  <c r="E26" i="58" s="1"/>
  <c r="F7" i="57"/>
  <c r="D23" i="56"/>
  <c r="C24" i="56"/>
  <c r="C23" i="56"/>
  <c r="D24" i="56"/>
  <c r="F27" i="47"/>
  <c r="D27" i="47"/>
  <c r="B27" i="47"/>
  <c r="F26" i="47"/>
  <c r="B26" i="47"/>
  <c r="F26" i="57" l="1"/>
  <c r="J33" i="57"/>
  <c r="J34" i="57"/>
  <c r="I33" i="57"/>
  <c r="I34" i="57"/>
  <c r="E34" i="57"/>
  <c r="E33" i="57"/>
  <c r="D33" i="57"/>
  <c r="D34" i="57"/>
  <c r="F27" i="58"/>
  <c r="F34" i="58"/>
  <c r="C27" i="58"/>
  <c r="C28" i="58" s="1"/>
  <c r="C34" i="58"/>
  <c r="G34" i="57"/>
  <c r="H27" i="57"/>
  <c r="H34" i="57"/>
  <c r="C34" i="57"/>
  <c r="C33" i="57"/>
  <c r="G33" i="57"/>
  <c r="E27" i="58"/>
  <c r="E33" i="58"/>
  <c r="E34" i="58"/>
  <c r="D34" i="58"/>
  <c r="D27" i="58"/>
  <c r="D28" i="58" s="1"/>
  <c r="D33" i="58"/>
  <c r="F27" i="57" l="1"/>
  <c r="F33" i="57"/>
  <c r="F34"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tc={AC40C470-570C-473C-BCD4-20C2F04A608B}</author>
  </authors>
  <commentList>
    <comment ref="L4" authorId="0" shapeId="0" xr:uid="{AC40C470-570C-473C-BCD4-20C2F04A608B}">
      <text>
        <t>[Threaded comment]
Your version of Excel allows you to read this threaded comment; however, any edits to it will get removed if the file is opened in a newer version of Excel. Learn more: https://go.microsoft.com/fwlink/?linkid=870924
Comment:
    @Paul Trowbridge @Jennifer Martin I’m having trouble getting this chart to update &amp; keep the years showing</t>
      </text>
    </comment>
  </commentList>
</comments>
</file>

<file path=xl/sharedStrings.xml><?xml version="1.0" encoding="utf-8"?>
<sst xmlns="http://schemas.openxmlformats.org/spreadsheetml/2006/main" count="539" uniqueCount="157">
  <si>
    <t>YTD</t>
  </si>
  <si>
    <t>Platform Revenues</t>
  </si>
  <si>
    <t>Asset management revenues</t>
  </si>
  <si>
    <t>Performance allocations</t>
  </si>
  <si>
    <t>Total Platform revenues</t>
  </si>
  <si>
    <t>Platform Expenses</t>
  </si>
  <si>
    <t>Operating costs</t>
  </si>
  <si>
    <t>General and administrative</t>
  </si>
  <si>
    <t>Marketing and advertising</t>
  </si>
  <si>
    <t>Depreciation and amortization</t>
  </si>
  <si>
    <t>Total Platform expenses</t>
  </si>
  <si>
    <t>Other income, net</t>
  </si>
  <si>
    <t>Gain on extinguishment of debt</t>
  </si>
  <si>
    <t>Interest income</t>
  </si>
  <si>
    <t>Interest expense</t>
  </si>
  <si>
    <t>Income taxes</t>
  </si>
  <si>
    <t>Platform Net income/(loss) - Earnings</t>
  </si>
  <si>
    <t>Platform EBITDA</t>
  </si>
  <si>
    <t>Platform Adjusted EBITDA</t>
  </si>
  <si>
    <t>Basic</t>
  </si>
  <si>
    <t>Diluted</t>
  </si>
  <si>
    <t>Platform BEPS</t>
  </si>
  <si>
    <t>Platform DEPS</t>
  </si>
  <si>
    <t>Capital Originations</t>
  </si>
  <si>
    <t>Managed Capital</t>
  </si>
  <si>
    <t>*Certain prior year amounts have been reclassified to conform to current presentation.</t>
  </si>
  <si>
    <t>**Basic and Diluted share count and BEPS and DEPS includes the impact of the revese stock split effect a 1-for-1.6820384 reverse stock split of Class A common stock, Class B common stock and Series B preferred stock which occurred on January 17, 2023.</t>
  </si>
  <si>
    <t>QTD</t>
  </si>
  <si>
    <t>Q1 2023</t>
  </si>
  <si>
    <t>Q2 2023</t>
  </si>
  <si>
    <t>Q3 2023</t>
  </si>
  <si>
    <t>Q4 2023</t>
  </si>
  <si>
    <t>Q1 2024</t>
  </si>
  <si>
    <t>Q2 2024</t>
  </si>
  <si>
    <t>Q3 2024</t>
  </si>
  <si>
    <t>Dec. 31, 2019</t>
  </si>
  <si>
    <t>Dec. 31, 2020</t>
  </si>
  <si>
    <t>Dec. 31, 2021</t>
  </si>
  <si>
    <t>Dec. 31, 2022</t>
  </si>
  <si>
    <t>Sept. 30, 2023</t>
  </si>
  <si>
    <t>Dec. 31, 2023</t>
  </si>
  <si>
    <t>Mar. 31, 2024</t>
  </si>
  <si>
    <t>Jun. 30, 2024</t>
  </si>
  <si>
    <t>Sept. 30, 2024</t>
  </si>
  <si>
    <t>(in thousands)</t>
  </si>
  <si>
    <t>Assets</t>
  </si>
  <si>
    <t>Cash and restricted cash</t>
  </si>
  <si>
    <t>Total Real estate assets</t>
  </si>
  <si>
    <t>Other assets</t>
  </si>
  <si>
    <t>Total assets</t>
  </si>
  <si>
    <t>Liabilities</t>
  </si>
  <si>
    <t>Corporate Notes</t>
  </si>
  <si>
    <t>Other liabilities</t>
  </si>
  <si>
    <t>Total liabilities</t>
  </si>
  <si>
    <t>Stockholders’ (Deficit) Equity</t>
  </si>
  <si>
    <t>Total stockholders’ (deficit) equity</t>
  </si>
  <si>
    <t>Total liabilities and stockholders’ (deficit) equity</t>
  </si>
  <si>
    <t>Platform Debt to equity</t>
  </si>
  <si>
    <t>Platform Debt to assets</t>
  </si>
  <si>
    <t>Platform</t>
  </si>
  <si>
    <t>Impact of Consolidated Funds</t>
  </si>
  <si>
    <t>Consolidated</t>
  </si>
  <si>
    <t>Assets of consolidated funds</t>
  </si>
  <si>
    <t>Liabilities and Stockholders’ Equity</t>
  </si>
  <si>
    <t>Liabilities of consolidated funds</t>
  </si>
  <si>
    <t>Mortgage and real estate debt</t>
  </si>
  <si>
    <t>Mezzanine Equity</t>
  </si>
  <si>
    <t>Stockholders’ equity (deficit) attributable to CaliberCos Inc.</t>
  </si>
  <si>
    <t>Stockholders’ equity attributable to noncontrolling interests</t>
  </si>
  <si>
    <t>Total stockholders’ equity</t>
  </si>
  <si>
    <t>Total liabilities and stockholders’ equity</t>
  </si>
  <si>
    <t>Debt to Equity</t>
  </si>
  <si>
    <t>Debt to Assets</t>
  </si>
  <si>
    <t>Net income (loss) attributable to CaliberCos Inc.</t>
  </si>
  <si>
    <t>Net income (loss) attributable to noncontrolling interests</t>
  </si>
  <si>
    <t>Net income (loss)</t>
  </si>
  <si>
    <t>Provision for income taxes</t>
  </si>
  <si>
    <t>Net income (loss) before income taxes</t>
  </si>
  <si>
    <t>Impact of consolidated funds</t>
  </si>
  <si>
    <t>Platform Net income (loss)</t>
  </si>
  <si>
    <t>Stock-based compensation</t>
  </si>
  <si>
    <t>Severance</t>
  </si>
  <si>
    <t>Public registration costs</t>
  </si>
  <si>
    <t>Legal costs</t>
  </si>
  <si>
    <t>Share buy-back</t>
  </si>
  <si>
    <t>Loss on CRAF Investment Redemption</t>
  </si>
  <si>
    <t>ESOP</t>
  </si>
  <si>
    <t>Other</t>
  </si>
  <si>
    <t>Platform adjusted EBITDA</t>
  </si>
  <si>
    <t>Year Ended December 31, 2022</t>
  </si>
  <si>
    <t>Year Ended December 31, 2023</t>
  </si>
  <si>
    <t>Revenues</t>
  </si>
  <si>
    <t>Asset management</t>
  </si>
  <si>
    <t>Consolidated funds – hospitality revenue</t>
  </si>
  <si>
    <t>Consolidated funds – other revenue</t>
  </si>
  <si>
    <t>Total revenues</t>
  </si>
  <si>
    <t>Expenses</t>
  </si>
  <si>
    <t>Consolidated funds – hospitality expenses</t>
  </si>
  <si>
    <t>Consolidated funds – other expenses</t>
  </si>
  <si>
    <t>Total expenses</t>
  </si>
  <si>
    <t>Consolidated funds – gain on sale of real estate investments</t>
  </si>
  <si>
    <t>Other income (loss), net</t>
  </si>
  <si>
    <t>Net loss before income taxes</t>
  </si>
  <si>
    <t>Net loss</t>
  </si>
  <si>
    <t>Net loss attributable to noncontrolling interests</t>
  </si>
  <si>
    <t>Net loss attributable to CaliberCos Inc.</t>
  </si>
  <si>
    <t>Basic Platform income per share</t>
  </si>
  <si>
    <t>Diluted Platform income per share</t>
  </si>
  <si>
    <t xml:space="preserve">Weighted average common shares outstanding:	</t>
  </si>
  <si>
    <t>Source:</t>
  </si>
  <si>
    <t>*Basic and Diluted share count and BEPS and DEPS includes the impact of the revese stock split effect a 1-for-1.6820384 reverse stock split of Class A common stock, Class B common stock and Series B preferred stock which occurred on January 17, 2023.</t>
  </si>
  <si>
    <t>Year Ended December 31, 2019</t>
  </si>
  <si>
    <t>Year Ended December 31, 2020</t>
  </si>
  <si>
    <t>Year Ended December 31, 2021</t>
  </si>
  <si>
    <t>Other revenue</t>
  </si>
  <si>
    <t xml:space="preserve">Three Months Ended March 31, 2023		</t>
  </si>
  <si>
    <t xml:space="preserve">Three Months Ended June 30, 2023				</t>
  </si>
  <si>
    <t xml:space="preserve">Three Months Ended September 30, 2023				</t>
  </si>
  <si>
    <t xml:space="preserve">Three Months Ended December 31, 2023			</t>
  </si>
  <si>
    <t xml:space="preserve">Three Months Ended March 31, 2024				</t>
  </si>
  <si>
    <t xml:space="preserve">Three Months Ended June 30, 2024				</t>
  </si>
  <si>
    <t xml:space="preserve">Three Months Ended September 30, 2024				</t>
  </si>
  <si>
    <t>1 Notes payable increased in Q1-2023 to $51M from $14.7M. This increase includes: i) $16.3M of debt assumed in the acquisition of our corporate headquarters. Note the corresponding increase in Real estate investments of approximately $19.4M over the same period. ii) $20.1M of notes raised to fund and invest in various assets Caliber managed. In response to a slow down in capital orginations. Corresponding increase in Notes receivable ($12m), Due from Related Parties ($4M), and investments ($2.4M). Remaining balance used in operations ($1.5M).</t>
  </si>
  <si>
    <t xml:space="preserve">2 Equity increased by $16.7M. Caliber completed its IPO in May 2023 and raised $4M. Upon completion of the IPO, the Company was relieved of its obligation to buyback the then remaining $12.4M in shares from a former co-founder. Note the corresponding decrease to accounts payable and accrueds. In response to continues slowdown in capital originations, the company issued additional Notes payable which increased by $4M. This was completely used to invest in our existing projects (increase in notes receivable by $4M). </t>
  </si>
  <si>
    <t>Q4 2024</t>
  </si>
  <si>
    <t>Total Managed Assets</t>
  </si>
  <si>
    <t>Fair Value Assets Under Management (AUM)</t>
  </si>
  <si>
    <t>Estimated Performance Allocations**</t>
  </si>
  <si>
    <t xml:space="preserve">**Amount represents fees the Company could earn, were all AUD at December 31, 2024, completed up through sale of the assets. </t>
  </si>
  <si>
    <t>Platform (Net loss) income before income taxes</t>
  </si>
  <si>
    <t xml:space="preserve">***Amount represents fees the Company could earn, were all AUD at December 31, 2024, completed up through sale of the assets. </t>
  </si>
  <si>
    <t>(in thousands, except per share amounts)</t>
  </si>
  <si>
    <t>(in thousands, unless otherwise noted)</t>
  </si>
  <si>
    <t>Dec. 31, 2024</t>
  </si>
  <si>
    <t>Investments impairment</t>
  </si>
  <si>
    <t>Bad debt expense</t>
  </si>
  <si>
    <t xml:space="preserve">Three Months Ended December 31, 2024				</t>
  </si>
  <si>
    <t>Basic income per share</t>
  </si>
  <si>
    <t>Diluted income per share</t>
  </si>
  <si>
    <t>Assets Under Development (AUD)_rounded</t>
  </si>
  <si>
    <t>Q1 2025</t>
  </si>
  <si>
    <t>Mar. 31, 2025</t>
  </si>
  <si>
    <t xml:space="preserve">Three Months Ended March 31, 2025				</t>
  </si>
  <si>
    <t xml:space="preserve">Three Months Ended June 30, 2025				</t>
  </si>
  <si>
    <t xml:space="preserve">Three Months Ended September 30, 2025				</t>
  </si>
  <si>
    <t xml:space="preserve">Three Months Ended December 31, 2025				</t>
  </si>
  <si>
    <r>
      <t xml:space="preserve">Mar. 31, 2023 </t>
    </r>
    <r>
      <rPr>
        <b/>
        <vertAlign val="superscript"/>
        <sz val="10"/>
        <color theme="1"/>
        <rFont val="Open Sans"/>
        <family val="2"/>
      </rPr>
      <t>1</t>
    </r>
  </si>
  <si>
    <r>
      <t xml:space="preserve">Jun. 30, 2023 </t>
    </r>
    <r>
      <rPr>
        <b/>
        <vertAlign val="superscript"/>
        <sz val="10"/>
        <color theme="1"/>
        <rFont val="Open Sans"/>
        <family val="2"/>
      </rPr>
      <t>2</t>
    </r>
  </si>
  <si>
    <t>Q2 2025</t>
  </si>
  <si>
    <t>Other loss (income), net</t>
  </si>
  <si>
    <t>June. 30, 2025</t>
  </si>
  <si>
    <t>Q3 2025</t>
  </si>
  <si>
    <t>Sept. 30, 2025</t>
  </si>
  <si>
    <t>Unrealized loss on digital assets</t>
  </si>
  <si>
    <t>Digital assets</t>
  </si>
  <si>
    <t>Platform Net income (loss) before income taxes</t>
  </si>
  <si>
    <t>Changes in fair value of digital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</si>
</sst>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 #,##0,;* \(#,##0,\);* &quot;-&quot;;_(@_)"/>
    <numFmt numFmtId="168" formatCode="&quot;Three Months Ended &quot;mmmm\,\ dd\,\ yyyy"/>
    <numFmt numFmtId="169" formatCode="&quot;For the Year Ended &quot;mmmm\,\ dd\,\ yyyy"/>
    <numFmt numFmtId="170" formatCode="0.0%"/>
  </numFmts>
  <fonts count="14" x14ac:knownFonts="1">
    <font>
      <sz val="11"/>
      <color theme="1"/>
      <name val="Aptos Narrow"/>
      <family val="2"/>
      <scheme val="minor"/>
    </font>
    <font>
      <sz val="11"/>
      <color theme="1"/>
      <name val="Aptos Narrow"/>
      <family val="2"/>
      <scheme val="minor"/>
    </font>
    <font>
      <sz val="10"/>
      <name val="Arial"/>
      <family val="2"/>
    </font>
    <font>
      <sz val="10"/>
      <color rgb="FF000000"/>
      <name val="Arial"/>
      <family val="2"/>
    </font>
    <font>
      <b/>
      <sz val="11"/>
      <color theme="1"/>
      <name val="Open Sans"/>
      <family val="2"/>
    </font>
    <font>
      <sz val="10"/>
      <color theme="1"/>
      <name val="Open Sans"/>
      <family val="2"/>
    </font>
    <font>
      <b/>
      <sz val="10"/>
      <color theme="1"/>
      <name val="Open Sans"/>
      <family val="2"/>
    </font>
    <font>
      <sz val="8"/>
      <name val="Aptos Narrow"/>
      <family val="2"/>
      <scheme val="minor"/>
    </font>
    <font>
      <sz val="10"/>
      <color rgb="FF000000"/>
      <name val="Open Sans"/>
      <family val="2"/>
    </font>
    <font>
      <b/>
      <sz val="10"/>
      <color rgb="FF000000"/>
      <name val="Open Sans"/>
      <family val="2"/>
    </font>
    <font>
      <i/>
      <sz val="10"/>
      <color theme="1"/>
      <name val="Open Sans"/>
      <family val="2"/>
    </font>
    <font>
      <i/>
      <sz val="11"/>
      <color theme="1"/>
      <name val="Aptos Narrow"/>
      <family val="2"/>
      <scheme val="minor"/>
    </font>
    <font>
      <sz val="10"/>
      <color theme="1"/>
      <name val="Open Sans"/>
      <family val="2"/>
    </font>
    <font>
      <b/>
      <vertAlign val="superscript"/>
      <sz val="10"/>
      <color theme="1"/>
      <name val="Open Sans"/>
      <family val="2"/>
    </font>
  </fonts>
  <fills count="6">
    <fill>
      <patternFill patternType="none"/>
    </fill>
    <fill>
      <patternFill patternType="gray125"/>
    </fill>
    <fill>
      <patternFill patternType="solid">
        <fgColor rgb="FFF4EBEB"/>
        <bgColor indexed="64"/>
      </patternFill>
    </fill>
    <fill>
      <patternFill patternType="solid">
        <fgColor rgb="FFF4EFEB"/>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thin">
        <color rgb="FF000000"/>
      </bottom>
      <diagonal/>
    </border>
    <border>
      <left/>
      <right/>
      <top style="thin">
        <color rgb="FF000000"/>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applyBorder="0">
      <alignment wrapText="1"/>
    </xf>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0" xfId="3"/>
    <xf numFmtId="164" fontId="0" fillId="0" borderId="0" xfId="0" applyNumberFormat="1"/>
    <xf numFmtId="167" fontId="2" fillId="0" borderId="0" xfId="3" applyNumberFormat="1"/>
    <xf numFmtId="0" fontId="1" fillId="0" borderId="0" xfId="42"/>
    <xf numFmtId="170" fontId="0" fillId="0" borderId="0" xfId="45" applyNumberFormat="1" applyFont="1"/>
    <xf numFmtId="0" fontId="0" fillId="4" borderId="0" xfId="0" applyFill="1"/>
    <xf numFmtId="0" fontId="5" fillId="0" borderId="0" xfId="0" applyFont="1"/>
    <xf numFmtId="166" fontId="6" fillId="0" borderId="4" xfId="0" applyNumberFormat="1" applyFont="1" applyBorder="1" applyAlignment="1">
      <alignment horizontal="center"/>
    </xf>
    <xf numFmtId="0" fontId="6" fillId="0" borderId="4" xfId="0" applyFont="1" applyBorder="1" applyAlignment="1">
      <alignment horizontal="center"/>
    </xf>
    <xf numFmtId="0" fontId="6" fillId="0" borderId="0" xfId="0" applyFont="1"/>
    <xf numFmtId="165" fontId="5" fillId="0" borderId="0" xfId="2" applyNumberFormat="1" applyFont="1" applyFill="1"/>
    <xf numFmtId="0" fontId="5" fillId="3" borderId="0" xfId="0" applyFont="1" applyFill="1"/>
    <xf numFmtId="164" fontId="5" fillId="3" borderId="0" xfId="1" applyNumberFormat="1" applyFont="1" applyFill="1"/>
    <xf numFmtId="164" fontId="5" fillId="0" borderId="2" xfId="1" applyNumberFormat="1" applyFont="1" applyFill="1" applyBorder="1"/>
    <xf numFmtId="164" fontId="5" fillId="0" borderId="0" xfId="1" applyNumberFormat="1" applyFont="1" applyFill="1"/>
    <xf numFmtId="9" fontId="5" fillId="0" borderId="0" xfId="1" applyNumberFormat="1" applyFont="1" applyFill="1"/>
    <xf numFmtId="0" fontId="5" fillId="2" borderId="0" xfId="0" applyFont="1" applyFill="1"/>
    <xf numFmtId="164" fontId="5" fillId="2" borderId="0" xfId="1" applyNumberFormat="1" applyFont="1" applyFill="1"/>
    <xf numFmtId="164" fontId="5" fillId="0" borderId="4" xfId="1" applyNumberFormat="1" applyFont="1" applyFill="1" applyBorder="1"/>
    <xf numFmtId="165" fontId="5" fillId="0" borderId="1" xfId="2" applyNumberFormat="1" applyFont="1" applyFill="1" applyBorder="1"/>
    <xf numFmtId="164" fontId="5" fillId="0" borderId="0" xfId="1" applyNumberFormat="1" applyFont="1" applyFill="1" applyBorder="1"/>
    <xf numFmtId="43" fontId="5" fillId="0" borderId="0" xfId="1" applyFont="1" applyFill="1" applyBorder="1"/>
    <xf numFmtId="43" fontId="5" fillId="0" borderId="0" xfId="1" applyFont="1" applyFill="1"/>
    <xf numFmtId="164" fontId="5" fillId="0" borderId="0" xfId="1" applyNumberFormat="1" applyFont="1"/>
    <xf numFmtId="165" fontId="5" fillId="0" borderId="0" xfId="2" applyNumberFormat="1" applyFont="1"/>
    <xf numFmtId="164" fontId="5" fillId="3" borderId="0" xfId="1" applyNumberFormat="1" applyFont="1" applyFill="1" applyBorder="1"/>
    <xf numFmtId="164" fontId="5" fillId="0" borderId="2" xfId="1" applyNumberFormat="1" applyFont="1" applyBorder="1"/>
    <xf numFmtId="164" fontId="5" fillId="0" borderId="4" xfId="1" applyNumberFormat="1" applyFont="1" applyBorder="1"/>
    <xf numFmtId="165" fontId="5" fillId="0" borderId="1" xfId="2" applyNumberFormat="1" applyFont="1" applyBorder="1"/>
    <xf numFmtId="164" fontId="5" fillId="0" borderId="0" xfId="0" applyNumberFormat="1" applyFont="1"/>
    <xf numFmtId="0" fontId="5" fillId="0" borderId="0" xfId="0" applyFont="1" applyAlignment="1">
      <alignment vertical="center"/>
    </xf>
    <xf numFmtId="43" fontId="5" fillId="0" borderId="0" xfId="0" applyNumberFormat="1" applyFont="1"/>
    <xf numFmtId="164" fontId="5" fillId="0" borderId="1" xfId="1" applyNumberFormat="1" applyFont="1" applyBorder="1"/>
    <xf numFmtId="43" fontId="5" fillId="0" borderId="0" xfId="1" applyFont="1"/>
    <xf numFmtId="0" fontId="5" fillId="0" borderId="2"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wrapText="1"/>
    </xf>
    <xf numFmtId="164" fontId="5" fillId="0" borderId="1" xfId="1" applyNumberFormat="1" applyFont="1" applyFill="1" applyBorder="1"/>
    <xf numFmtId="164" fontId="5" fillId="0" borderId="0" xfId="1" applyNumberFormat="1" applyFont="1" applyBorder="1"/>
    <xf numFmtId="0" fontId="8" fillId="0" borderId="0" xfId="3" applyFont="1" applyAlignment="1">
      <alignment wrapText="1"/>
    </xf>
    <xf numFmtId="166" fontId="4" fillId="0" borderId="4" xfId="42" applyNumberFormat="1" applyFont="1" applyBorder="1" applyAlignment="1">
      <alignment horizontal="center"/>
    </xf>
    <xf numFmtId="0" fontId="4" fillId="0" borderId="4" xfId="42" applyFont="1" applyBorder="1" applyAlignment="1">
      <alignment horizontal="center"/>
    </xf>
    <xf numFmtId="0" fontId="9" fillId="0" borderId="0" xfId="3" applyFont="1" applyAlignment="1">
      <alignment wrapText="1"/>
    </xf>
    <xf numFmtId="164" fontId="8" fillId="0" borderId="6" xfId="44" applyNumberFormat="1" applyFont="1" applyFill="1" applyBorder="1" applyAlignment="1">
      <alignment wrapText="1"/>
    </xf>
    <xf numFmtId="164" fontId="8" fillId="0" borderId="6" xfId="44" applyNumberFormat="1" applyFont="1" applyBorder="1" applyAlignment="1">
      <alignment wrapText="1"/>
    </xf>
    <xf numFmtId="164" fontId="8" fillId="0" borderId="5" xfId="44" applyNumberFormat="1" applyFont="1" applyFill="1" applyBorder="1" applyAlignment="1">
      <alignment wrapText="1"/>
    </xf>
    <xf numFmtId="164" fontId="8" fillId="0" borderId="5" xfId="44" applyNumberFormat="1" applyFont="1" applyBorder="1" applyAlignment="1">
      <alignment wrapText="1"/>
    </xf>
    <xf numFmtId="164" fontId="8" fillId="0" borderId="0" xfId="44" applyNumberFormat="1" applyFont="1" applyFill="1" applyBorder="1" applyAlignment="1">
      <alignment wrapText="1"/>
    </xf>
    <xf numFmtId="164" fontId="8" fillId="0" borderId="0" xfId="44" applyNumberFormat="1" applyFont="1" applyBorder="1" applyAlignment="1">
      <alignment wrapText="1"/>
    </xf>
    <xf numFmtId="164" fontId="8" fillId="0" borderId="3" xfId="44" applyNumberFormat="1" applyFont="1" applyBorder="1" applyAlignment="1">
      <alignment wrapText="1"/>
    </xf>
    <xf numFmtId="164" fontId="8" fillId="0" borderId="3" xfId="44" applyNumberFormat="1" applyFont="1" applyFill="1" applyBorder="1" applyAlignment="1">
      <alignment wrapText="1"/>
    </xf>
    <xf numFmtId="164" fontId="8" fillId="0" borderId="0" xfId="44" applyNumberFormat="1" applyFont="1" applyFill="1" applyAlignment="1">
      <alignment wrapText="1"/>
    </xf>
    <xf numFmtId="164" fontId="8" fillId="0" borderId="0" xfId="44" applyNumberFormat="1" applyFont="1" applyAlignment="1">
      <alignment wrapText="1"/>
    </xf>
    <xf numFmtId="164" fontId="8" fillId="0" borderId="1" xfId="44" applyNumberFormat="1" applyFont="1" applyBorder="1" applyAlignment="1">
      <alignment wrapText="1"/>
    </xf>
    <xf numFmtId="164" fontId="5" fillId="0" borderId="3" xfId="1" applyNumberFormat="1" applyFont="1" applyBorder="1"/>
    <xf numFmtId="0" fontId="10" fillId="0" borderId="0" xfId="0" applyFont="1"/>
    <xf numFmtId="0" fontId="11" fillId="0" borderId="0" xfId="0" applyFont="1"/>
    <xf numFmtId="164" fontId="12" fillId="0" borderId="0" xfId="1" applyNumberFormat="1" applyFont="1"/>
    <xf numFmtId="164" fontId="12" fillId="0" borderId="1" xfId="1" applyNumberFormat="1" applyFont="1" applyBorder="1"/>
    <xf numFmtId="0" fontId="12" fillId="0" borderId="0" xfId="0" applyFont="1"/>
    <xf numFmtId="0" fontId="12" fillId="0" borderId="2"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wrapText="1"/>
    </xf>
    <xf numFmtId="164" fontId="12" fillId="0" borderId="2" xfId="1" applyNumberFormat="1" applyFont="1" applyBorder="1"/>
    <xf numFmtId="43" fontId="12" fillId="0" borderId="0" xfId="0" applyNumberFormat="1" applyFont="1"/>
    <xf numFmtId="164" fontId="5" fillId="5" borderId="0" xfId="1" applyNumberFormat="1" applyFont="1" applyFill="1"/>
    <xf numFmtId="164" fontId="5" fillId="2" borderId="4" xfId="1" applyNumberFormat="1" applyFont="1" applyFill="1" applyBorder="1"/>
    <xf numFmtId="164" fontId="5" fillId="2" borderId="0" xfId="1" applyNumberFormat="1" applyFont="1" applyFill="1" applyBorder="1"/>
    <xf numFmtId="43" fontId="5" fillId="2" borderId="0" xfId="0" applyNumberFormat="1" applyFont="1" applyFill="1"/>
    <xf numFmtId="164" fontId="12" fillId="0" borderId="0" xfId="1" applyNumberFormat="1" applyFont="1" applyFill="1"/>
    <xf numFmtId="0" fontId="5" fillId="0" borderId="0" xfId="0" applyFont="1" applyAlignment="1">
      <alignment horizontal="left" wrapText="1"/>
    </xf>
    <xf numFmtId="0" fontId="8" fillId="0" borderId="0" xfId="0" applyFont="1" applyAlignment="1">
      <alignment horizontal="left" vertical="top" wrapText="1"/>
    </xf>
    <xf numFmtId="169" fontId="5" fillId="0" borderId="4" xfId="0" applyNumberFormat="1" applyFont="1" applyBorder="1" applyAlignment="1">
      <alignment horizontal="center"/>
    </xf>
    <xf numFmtId="168" fontId="5" fillId="0" borderId="4" xfId="0" applyNumberFormat="1" applyFont="1" applyBorder="1" applyAlignment="1">
      <alignment horizontal="center"/>
    </xf>
    <xf numFmtId="168" fontId="12" fillId="0" borderId="4" xfId="0" applyNumberFormat="1" applyFont="1" applyBorder="1" applyAlignment="1">
      <alignment horizontal="center"/>
    </xf>
    <xf numFmtId="0" fontId="5" fillId="0" borderId="4" xfId="0" applyFont="1" applyBorder="1" applyAlignment="1">
      <alignment horizontal="center"/>
    </xf>
    <xf numFmtId="0" fontId="5" fillId="0" borderId="0" xfId="0" applyFont="1" applyAlignment="1">
      <alignment horizontal="left" vertical="top" wrapText="1"/>
    </xf>
  </cellXfs>
  <cellStyles count="46">
    <cellStyle name="Comma" xfId="1" builtinId="3"/>
    <cellStyle name="Comma [0] 2" xfId="8" xr:uid="{46AA0DB3-6C80-40D0-87AC-DF409C4C2B35}"/>
    <cellStyle name="Comma 10" xfId="25" xr:uid="{1FB23F55-5933-40B1-8D6D-C7592E917259}"/>
    <cellStyle name="Comma 11" xfId="27" xr:uid="{FCB3C354-7430-421E-BC02-B49EF504AE44}"/>
    <cellStyle name="Comma 12" xfId="28" xr:uid="{4A8FC423-BA37-430C-A146-87C20487759A}"/>
    <cellStyle name="Comma 13" xfId="31" xr:uid="{3302BDFD-AF68-4491-8041-5DC6B3C0BAF0}"/>
    <cellStyle name="Comma 14" xfId="33" xr:uid="{CEE229DA-12DE-41FA-A8B7-0F8A53CB6834}"/>
    <cellStyle name="Comma 15" xfId="35" xr:uid="{4021346B-92CB-4E93-A1FD-579447B0108C}"/>
    <cellStyle name="Comma 16" xfId="37" xr:uid="{3C6AD0C5-25D8-42B4-8829-19E4ED7218FC}"/>
    <cellStyle name="Comma 17" xfId="39" xr:uid="{57757D33-229F-47FD-9406-EC2A9B975A45}"/>
    <cellStyle name="Comma 18" xfId="40" xr:uid="{7AB7A148-73AB-4290-8959-1E58079EC079}"/>
    <cellStyle name="Comma 2" xfId="7" xr:uid="{2814304F-737F-4DB0-878A-BA372E483EB6}"/>
    <cellStyle name="Comma 2 2" xfId="44" xr:uid="{501B007E-8A8B-5840-AEF7-A93CE7B6DD7F}"/>
    <cellStyle name="Comma 3" xfId="11" xr:uid="{AB75B099-D9C0-4632-A5DF-0908E23FC58B}"/>
    <cellStyle name="Comma 4" xfId="13" xr:uid="{0B5FE5F7-D7A1-4CB7-A9D7-A8552B4A60B1}"/>
    <cellStyle name="Comma 5" xfId="15" xr:uid="{8816904E-666E-42C5-A93D-FB99AF7677B7}"/>
    <cellStyle name="Comma 6" xfId="16" xr:uid="{013809E6-FD6D-4AE9-9C73-049F0DE85452}"/>
    <cellStyle name="Comma 7" xfId="19" xr:uid="{74909E89-8150-4D55-A4BC-FF718866A0F2}"/>
    <cellStyle name="Comma 8" xfId="21" xr:uid="{D1654D02-B71B-47E4-B476-A17CA772FB0F}"/>
    <cellStyle name="Comma 9" xfId="23" xr:uid="{ADF9E456-3403-4268-A79D-D2BDFE8FFDDE}"/>
    <cellStyle name="Currency" xfId="2" builtinId="4"/>
    <cellStyle name="Currency [0] 2" xfId="6" xr:uid="{666C67B7-E251-40AF-8704-9B1A0D823154}"/>
    <cellStyle name="Currency 10" xfId="22" xr:uid="{1871AEBC-33F3-4023-B10F-3C11734147DC}"/>
    <cellStyle name="Currency 11" xfId="24" xr:uid="{65E6D03C-C676-4E6D-B53E-78A3AA824A36}"/>
    <cellStyle name="Currency 12" xfId="26" xr:uid="{28AE720D-CB9D-4A34-BA1C-05596C8856BB}"/>
    <cellStyle name="Currency 13" xfId="29" xr:uid="{774B6851-0AD0-4C86-A6A5-00B0BD4D48E0}"/>
    <cellStyle name="Currency 14" xfId="30" xr:uid="{E2D04805-BE2B-4C52-88B1-31A84CB3AC43}"/>
    <cellStyle name="Currency 15" xfId="32" xr:uid="{EEE7141A-2107-4B17-8DBE-BB5E339FB452}"/>
    <cellStyle name="Currency 16" xfId="34" xr:uid="{03757D76-C91C-4052-B5A5-F1D386E4CB36}"/>
    <cellStyle name="Currency 17" xfId="36" xr:uid="{63BD1C83-954F-414B-9796-7730B091538E}"/>
    <cellStyle name="Currency 18" xfId="38" xr:uid="{B23F5340-DA84-4466-883B-1C895EFA4C87}"/>
    <cellStyle name="Currency 2" xfId="5" xr:uid="{96A6BA82-11B2-4CF9-A197-9E6937D64B92}"/>
    <cellStyle name="Currency 2 2" xfId="43" xr:uid="{B1858DAE-F4AF-4D4C-8FD1-A65B3076E056}"/>
    <cellStyle name="Currency 3" xfId="9" xr:uid="{47AB9FBE-F2C8-45C2-A98F-032A7AC1EBCB}"/>
    <cellStyle name="Currency 4" xfId="10" xr:uid="{5538B2E4-5037-4B3F-8E78-ED30A74236F4}"/>
    <cellStyle name="Currency 5" xfId="12" xr:uid="{27C873B4-749E-45AF-BB2D-75063CB5EC8C}"/>
    <cellStyle name="Currency 6" xfId="14" xr:uid="{517A2500-CDFB-41A3-B846-F317E058E19B}"/>
    <cellStyle name="Currency 7" xfId="17" xr:uid="{2AEE59E0-1F78-43EA-BA76-6A4809FBFE94}"/>
    <cellStyle name="Currency 8" xfId="18" xr:uid="{0ED26799-F199-4167-85D0-BAE36F18ABB1}"/>
    <cellStyle name="Currency 9" xfId="20" xr:uid="{C23B9A5B-A420-44C0-8CA5-8FBF98FA901F}"/>
    <cellStyle name="Normal" xfId="0" builtinId="0"/>
    <cellStyle name="Normal 2" xfId="3" xr:uid="{DCFB707A-ECE8-4AE5-9BD5-66C5D818F2EA}"/>
    <cellStyle name="Normal 3" xfId="42" xr:uid="{286EF4EE-EF0E-E441-BA7A-AB7E1B243750}"/>
    <cellStyle name="Percent" xfId="45" builtinId="5"/>
    <cellStyle name="Percent 2" xfId="4" xr:uid="{61D9F61B-A0A8-41C9-AB29-30E797517644}"/>
    <cellStyle name="Table (Normal)" xfId="41" xr:uid="{3E5E46A5-5A2A-3C42-A9BE-98D975B729D0}"/>
  </cellStyles>
  <dxfs count="39">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fgColor auto="1"/>
          <bgColor rgb="FFF4EBEB"/>
        </patternFill>
      </fill>
    </dxf>
    <dxf>
      <fill>
        <patternFill>
          <fgColor auto="1"/>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
      <fill>
        <patternFill>
          <bgColor rgb="FFF4EBEB"/>
        </patternFill>
      </fill>
    </dxf>
  </dxfs>
  <tableStyles count="0" defaultTableStyle="TableStyleMedium2" defaultPivotStyle="PivotStyleLight16"/>
  <colors>
    <mruColors>
      <color rgb="FFF4EBEB"/>
      <color rgb="FF2C6B73"/>
      <color rgb="FF4AAFA0"/>
      <color rgb="FF81C088"/>
      <color rgb="FFDBAD77"/>
      <color rgb="FF252525"/>
      <color rgb="FFAD7F5B"/>
      <color rgb="FFF4E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IN" b="0" i="0">
                <a:latin typeface="Montserrat Medium" pitchFamily="2" charset="77"/>
              </a:rPr>
              <a:t>Annual Platform Revenue and Platform Adjusted EBITDA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IN"/>
        </a:p>
      </c:txPr>
    </c:title>
    <c:autoTitleDeleted val="0"/>
    <c:plotArea>
      <c:layout>
        <c:manualLayout>
          <c:layoutTarget val="inner"/>
          <c:xMode val="edge"/>
          <c:yMode val="edge"/>
          <c:x val="8.0719886687026177E-2"/>
          <c:y val="2.7814412655831896E-2"/>
          <c:w val="0.91749817142241341"/>
          <c:h val="0.85958245971111269"/>
        </c:manualLayout>
      </c:layout>
      <c:barChart>
        <c:barDir val="col"/>
        <c:grouping val="clustered"/>
        <c:varyColors val="0"/>
        <c:ser>
          <c:idx val="0"/>
          <c:order val="0"/>
          <c:tx>
            <c:strRef>
              <c:f>'IS - Annual'!$B$7</c:f>
              <c:strCache>
                <c:ptCount val="1"/>
                <c:pt idx="0">
                  <c:v>Total Platform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Annual'!$C$7:$I$7</c:f>
              <c:numCache>
                <c:formatCode>_(* #,##0_);_(* \(#,##0\);_(* "-"??_);_(@_)</c:formatCode>
                <c:ptCount val="7"/>
                <c:pt idx="0">
                  <c:v>26071</c:v>
                </c:pt>
                <c:pt idx="1">
                  <c:v>12197</c:v>
                </c:pt>
                <c:pt idx="2">
                  <c:v>15992</c:v>
                </c:pt>
                <c:pt idx="3">
                  <c:v>24118</c:v>
                </c:pt>
                <c:pt idx="4">
                  <c:v>20638</c:v>
                </c:pt>
                <c:pt idx="5">
                  <c:v>20942</c:v>
                </c:pt>
                <c:pt idx="6">
                  <c:v>11191</c:v>
                </c:pt>
              </c:numCache>
            </c:numRef>
          </c:val>
          <c:extLst>
            <c:ext xmlns:c16="http://schemas.microsoft.com/office/drawing/2014/chart" uri="{C3380CC4-5D6E-409C-BE32-E72D297353CC}">
              <c16:uniqueId val="{00000000-E7DF-C24F-B92F-32D50D7146F4}"/>
            </c:ext>
          </c:extLst>
        </c:ser>
        <c:ser>
          <c:idx val="1"/>
          <c:order val="1"/>
          <c:tx>
            <c:strRef>
              <c:f>'IS - Annual'!$B$28</c:f>
              <c:strCache>
                <c:ptCount val="1"/>
                <c:pt idx="0">
                  <c:v>Platform Adjusted EBITDA</c:v>
                </c:pt>
              </c:strCache>
            </c:strRef>
          </c:tx>
          <c:spPr>
            <a:solidFill>
              <a:srgbClr val="DBAD77"/>
            </a:solidFill>
            <a:ln>
              <a:noFill/>
            </a:ln>
            <a:effectLst/>
          </c:spPr>
          <c:invertIfNegative val="0"/>
          <c:dLbls>
            <c:numFmt formatCode="_(&quot;$&quot;* #,##0_);_(&quot;$&quot;* \(#,##0\);_(&quot;$&quot;* &quot;-&quot;_);_(@_)"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'IS - Annual'!$C$28:$I$28</c:f>
              <c:numCache>
                <c:formatCode>_(* #,##0_);_(* \(#,##0\);_(* "-"??_);_(@_)</c:formatCode>
                <c:ptCount val="7"/>
                <c:pt idx="0">
                  <c:v>10040</c:v>
                </c:pt>
                <c:pt idx="1">
                  <c:v>-2842</c:v>
                </c:pt>
                <c:pt idx="2">
                  <c:v>3462</c:v>
                </c:pt>
                <c:pt idx="3">
                  <c:v>5519</c:v>
                </c:pt>
                <c:pt idx="4">
                  <c:v>-1251</c:v>
                </c:pt>
                <c:pt idx="5">
                  <c:v>-2710</c:v>
                </c:pt>
                <c:pt idx="6">
                  <c:v>-2071</c:v>
                </c:pt>
              </c:numCache>
            </c:numRef>
          </c:val>
          <c:extLst>
            <c:ext xmlns:c16="http://schemas.microsoft.com/office/drawing/2014/chart" uri="{C3380CC4-5D6E-409C-BE32-E72D297353CC}">
              <c16:uniqueId val="{00000001-E7DF-C24F-B92F-32D50D7146F4}"/>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Open Sans" panose="020B0606030504020204" pitchFamily="34" charset="0"/>
              <a:cs typeface="Open Sans" panose="020B0606030504020204" pitchFamily="34" charset="0"/>
            </a:defRPr>
          </a:pPr>
          <a:endParaRPr lang="en-US"/>
        </a:p>
      </c:txPr>
    </c:title>
    <c:autoTitleDeleted val="0"/>
    <c:plotArea>
      <c:layout/>
      <c:barChart>
        <c:barDir val="col"/>
        <c:grouping val="clustered"/>
        <c:varyColors val="0"/>
        <c:ser>
          <c:idx val="1"/>
          <c:order val="1"/>
          <c:tx>
            <c:strRef>
              <c:f>'IS - Annual'!$B$36</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Annual'!$C$36:$I$36</c:f>
              <c:numCache>
                <c:formatCode>_(* #,##0_);_(* \(#,##0\);_(* "-"??_);_(@_)</c:formatCode>
                <c:ptCount val="7"/>
                <c:pt idx="0">
                  <c:v>82402</c:v>
                </c:pt>
                <c:pt idx="1">
                  <c:v>31903</c:v>
                </c:pt>
                <c:pt idx="2">
                  <c:v>99132</c:v>
                </c:pt>
                <c:pt idx="3">
                  <c:v>85574</c:v>
                </c:pt>
                <c:pt idx="4">
                  <c:v>74857</c:v>
                </c:pt>
                <c:pt idx="5">
                  <c:v>68959</c:v>
                </c:pt>
                <c:pt idx="6">
                  <c:v>15302</c:v>
                </c:pt>
              </c:numCache>
            </c:numRef>
          </c:val>
          <c:extLst>
            <c:ext xmlns:c16="http://schemas.microsoft.com/office/drawing/2014/chart" uri="{C3380CC4-5D6E-409C-BE32-E72D297353CC}">
              <c16:uniqueId val="{00000000-81AD-ED4A-8BED-4A0C5C847EC1}"/>
            </c:ext>
          </c:extLst>
        </c:ser>
        <c:ser>
          <c:idx val="2"/>
          <c:order val="2"/>
          <c:tx>
            <c:strRef>
              <c:f>'IS - Annual'!$B$37</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Annual'!$C$37:$I$37</c:f>
              <c:numCache>
                <c:formatCode>_(* #,##0_);_(* \(#,##0\);_(* "-"??_);_(@_)</c:formatCode>
                <c:ptCount val="7"/>
                <c:pt idx="0">
                  <c:v>204755</c:v>
                </c:pt>
                <c:pt idx="1">
                  <c:v>226486</c:v>
                </c:pt>
                <c:pt idx="2">
                  <c:v>306899</c:v>
                </c:pt>
                <c:pt idx="3">
                  <c:v>383189</c:v>
                </c:pt>
                <c:pt idx="4">
                  <c:v>437625</c:v>
                </c:pt>
                <c:pt idx="5">
                  <c:v>492542</c:v>
                </c:pt>
                <c:pt idx="6">
                  <c:v>505989</c:v>
                </c:pt>
              </c:numCache>
            </c:numRef>
          </c:val>
          <c:extLst>
            <c:ext xmlns:c16="http://schemas.microsoft.com/office/drawing/2014/chart" uri="{C3380CC4-5D6E-409C-BE32-E72D297353CC}">
              <c16:uniqueId val="{00000001-81AD-ED4A-8BED-4A0C5C847EC1}"/>
            </c:ext>
          </c:extLst>
        </c:ser>
        <c:ser>
          <c:idx val="3"/>
          <c:order val="3"/>
          <c:tx>
            <c:strRef>
              <c:f>'IS - Annual'!$B$38</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Annual'!$C$38:$I$38</c:f>
              <c:numCache>
                <c:formatCode>_(* #,##0_);_(* \(#,##0\);_(* "-"??_);_(@_)</c:formatCode>
                <c:ptCount val="7"/>
                <c:pt idx="0">
                  <c:v>395816</c:v>
                </c:pt>
                <c:pt idx="1">
                  <c:v>419700</c:v>
                </c:pt>
                <c:pt idx="2">
                  <c:v>601168</c:v>
                </c:pt>
                <c:pt idx="3">
                  <c:v>745514</c:v>
                </c:pt>
                <c:pt idx="4">
                  <c:v>741190</c:v>
                </c:pt>
                <c:pt idx="5">
                  <c:v>794923</c:v>
                </c:pt>
                <c:pt idx="6">
                  <c:v>797033</c:v>
                </c:pt>
              </c:numCache>
            </c:numRef>
          </c:val>
          <c:extLst>
            <c:ext xmlns:c16="http://schemas.microsoft.com/office/drawing/2014/chart" uri="{C3380CC4-5D6E-409C-BE32-E72D297353CC}">
              <c16:uniqueId val="{00000002-81AD-ED4A-8BED-4A0C5C847EC1}"/>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Annual'!$B$5</c:f>
              <c:strCache>
                <c:ptCount val="1"/>
                <c:pt idx="0">
                  <c:v>Asset management revenues</c:v>
                </c:pt>
              </c:strCache>
            </c:strRef>
          </c:tx>
          <c:spPr>
            <a:ln w="28575" cap="rnd">
              <a:solidFill>
                <a:srgbClr val="AD7F5B"/>
              </a:solidFill>
              <a:round/>
            </a:ln>
            <a:effectLst/>
          </c:spPr>
          <c:marker>
            <c:symbol val="none"/>
          </c:marker>
          <c:dLbls>
            <c:dLbl>
              <c:idx val="1"/>
              <c:layout>
                <c:manualLayout>
                  <c:x val="-2.5069163915090148E-2"/>
                  <c:y val="-6.0827144668459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1-4C95-86A5-F064F428CB06}"/>
                </c:ext>
              </c:extLst>
            </c:dLbl>
            <c:dLbl>
              <c:idx val="2"/>
              <c:layout>
                <c:manualLayout>
                  <c:x val="-5.966408356737845E-17"/>
                  <c:y val="2.9380348059330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9A-400C-9C06-8D0D29F1F797}"/>
                </c:ext>
              </c:extLst>
            </c:dLbl>
            <c:dLbl>
              <c:idx val="5"/>
              <c:layout>
                <c:manualLayout>
                  <c:x val="9.7633264601393061E-3"/>
                  <c:y val="2.670940732666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3D-40F3-AE09-9DBF4F4B2A78}"/>
                </c:ext>
              </c:extLst>
            </c:dLbl>
            <c:dLbl>
              <c:idx val="6"/>
              <c:layout>
                <c:manualLayout>
                  <c:x val="-1.193281671347569E-16"/>
                  <c:y val="-3.4305604832425812E-2"/>
                </c:manualLayout>
              </c:layout>
              <c:numFmt formatCode="&quot;$&quot;#.0,&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E1-455D-B4E4-8433D0108F21}"/>
                </c:ext>
              </c:extLst>
            </c:dLbl>
            <c:numFmt formatCode="&quot;$&quot;#.#,&quot;MM&quot;"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'IS - Annual'!$C$2:$I$2</c:f>
              <c:numCache>
                <c:formatCode>General</c:formatCode>
                <c:ptCount val="7"/>
                <c:pt idx="0">
                  <c:v>2019</c:v>
                </c:pt>
                <c:pt idx="1">
                  <c:v>2020</c:v>
                </c:pt>
                <c:pt idx="2">
                  <c:v>2021</c:v>
                </c:pt>
                <c:pt idx="3">
                  <c:v>2022</c:v>
                </c:pt>
                <c:pt idx="4">
                  <c:v>2023</c:v>
                </c:pt>
                <c:pt idx="5">
                  <c:v>2024</c:v>
                </c:pt>
                <c:pt idx="6">
                  <c:v>2025</c:v>
                </c:pt>
              </c:numCache>
            </c:numRef>
          </c:cat>
          <c:val>
            <c:numRef>
              <c:f>'IS - Annual'!$C$5:$I$5</c:f>
              <c:numCache>
                <c:formatCode>_("$"* #,##0_);_("$"* \(#,##0\);_("$"* "-"??_);_(@_)</c:formatCode>
                <c:ptCount val="7"/>
                <c:pt idx="0">
                  <c:v>21086</c:v>
                </c:pt>
                <c:pt idx="1">
                  <c:v>11775</c:v>
                </c:pt>
                <c:pt idx="2">
                  <c:v>15259</c:v>
                </c:pt>
                <c:pt idx="3">
                  <c:v>21575</c:v>
                </c:pt>
                <c:pt idx="4">
                  <c:v>16982</c:v>
                </c:pt>
                <c:pt idx="5">
                  <c:v>20563</c:v>
                </c:pt>
                <c:pt idx="6">
                  <c:v>11159</c:v>
                </c:pt>
              </c:numCache>
            </c:numRef>
          </c:val>
          <c:smooth val="0"/>
          <c:extLst>
            <c:ext xmlns:c16="http://schemas.microsoft.com/office/drawing/2014/chart" uri="{C3380CC4-5D6E-409C-BE32-E72D297353CC}">
              <c16:uniqueId val="{00000003-81AD-ED4A-8BED-4A0C5C847EC1}"/>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IN" b="0" i="0">
                <a:latin typeface="Montserrat Medium" pitchFamily="2" charset="77"/>
              </a:rPr>
              <a:t>Annual Platform</a:t>
            </a:r>
            <a:r>
              <a:rPr lang="en-IN" b="0" i="0" baseline="0">
                <a:latin typeface="Montserrat Medium" pitchFamily="2" charset="77"/>
              </a:rPr>
              <a:t> Revenue and Platform Adjusted EBITDA</a:t>
            </a:r>
            <a:endParaRPr lang="en-IN" b="0" i="0">
              <a:latin typeface="Montserrat Medium" pitchFamily="2" charset="77"/>
            </a:endParaRPr>
          </a:p>
        </c:rich>
      </c:tx>
      <c:layout>
        <c:manualLayout>
          <c:xMode val="edge"/>
          <c:yMode val="edge"/>
          <c:x val="0.18154472314620926"/>
          <c:y val="5.714285714285714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IN"/>
        </a:p>
      </c:txPr>
    </c:title>
    <c:autoTitleDeleted val="0"/>
    <c:plotArea>
      <c:layout>
        <c:manualLayout>
          <c:layoutTarget val="inner"/>
          <c:xMode val="edge"/>
          <c:yMode val="edge"/>
          <c:x val="8.0719886687026177E-2"/>
          <c:y val="7.1852073774478525E-2"/>
          <c:w val="0.91749817142241341"/>
          <c:h val="0.78031439963456739"/>
        </c:manualLayout>
      </c:layout>
      <c:barChart>
        <c:barDir val="col"/>
        <c:grouping val="clustered"/>
        <c:varyColors val="0"/>
        <c:ser>
          <c:idx val="0"/>
          <c:order val="0"/>
          <c:tx>
            <c:strRef>
              <c:f>'IS - Quarterly'!$B$5</c:f>
              <c:strCache>
                <c:ptCount val="1"/>
                <c:pt idx="0">
                  <c:v>Asset management revenues</c:v>
                </c:pt>
              </c:strCache>
            </c:strRef>
          </c:tx>
          <c:spPr>
            <a:solidFill>
              <a:srgbClr val="252525"/>
            </a:solidFill>
            <a:ln>
              <a:noFill/>
            </a:ln>
            <a:effectLst/>
          </c:spPr>
          <c:invertIfNegative val="0"/>
          <c:dLbls>
            <c:numFmt formatCode="_(&quot;$&quot;* #,##0_);_(&quot;$&quot;* \(#,##0\);_(&quot;$&quot;* &quot;-&quot;_);_(@_)"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Quarterly'!$C$2:$M$2</c:f>
              <c:strCache>
                <c:ptCount val="9"/>
                <c:pt idx="0">
                  <c:v>Q3 2023</c:v>
                </c:pt>
                <c:pt idx="1">
                  <c:v>Q4 2023</c:v>
                </c:pt>
                <c:pt idx="2">
                  <c:v>Q1 2024</c:v>
                </c:pt>
                <c:pt idx="3">
                  <c:v>Q2 2024</c:v>
                </c:pt>
                <c:pt idx="4">
                  <c:v>Q3 2024</c:v>
                </c:pt>
                <c:pt idx="5">
                  <c:v>Q4 2024</c:v>
                </c:pt>
                <c:pt idx="6">
                  <c:v>Q1 2025</c:v>
                </c:pt>
                <c:pt idx="7">
                  <c:v>Q2 2025</c:v>
                </c:pt>
                <c:pt idx="8">
                  <c:v>Q3 2025</c:v>
                </c:pt>
              </c:strCache>
            </c:strRef>
          </c:cat>
          <c:val>
            <c:numRef>
              <c:f>'IS - Quarterly'!$C$5:$M$5</c:f>
              <c:numCache>
                <c:formatCode>_("$"* #,##0_);_("$"* \(#,##0\);_("$"* "-"??_);_(@_)</c:formatCode>
                <c:ptCount val="9"/>
                <c:pt idx="0">
                  <c:v>3704</c:v>
                </c:pt>
                <c:pt idx="1">
                  <c:v>6005</c:v>
                </c:pt>
                <c:pt idx="2">
                  <c:v>4555</c:v>
                </c:pt>
                <c:pt idx="3">
                  <c:v>4179</c:v>
                </c:pt>
                <c:pt idx="4">
                  <c:v>7242</c:v>
                </c:pt>
                <c:pt idx="5">
                  <c:v>4587</c:v>
                </c:pt>
                <c:pt idx="6">
                  <c:v>3542</c:v>
                </c:pt>
                <c:pt idx="7">
                  <c:v>4103</c:v>
                </c:pt>
                <c:pt idx="8">
                  <c:v>3514</c:v>
                </c:pt>
              </c:numCache>
            </c:numRef>
          </c:val>
          <c:extLst>
            <c:ext xmlns:c16="http://schemas.microsoft.com/office/drawing/2014/chart" uri="{C3380CC4-5D6E-409C-BE32-E72D297353CC}">
              <c16:uniqueId val="{00000000-E672-964A-B305-E183697661A3}"/>
            </c:ext>
          </c:extLst>
        </c:ser>
        <c:ser>
          <c:idx val="1"/>
          <c:order val="1"/>
          <c:tx>
            <c:strRef>
              <c:f>'IS - Quarterly'!$B$28</c:f>
              <c:strCache>
                <c:ptCount val="1"/>
                <c:pt idx="0">
                  <c:v>Platform Adjusted EBITDA</c:v>
                </c:pt>
              </c:strCache>
            </c:strRef>
          </c:tx>
          <c:spPr>
            <a:solidFill>
              <a:srgbClr val="DBAD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Quarterly'!$C$2:$M$2</c:f>
              <c:strCache>
                <c:ptCount val="9"/>
                <c:pt idx="0">
                  <c:v>Q3 2023</c:v>
                </c:pt>
                <c:pt idx="1">
                  <c:v>Q4 2023</c:v>
                </c:pt>
                <c:pt idx="2">
                  <c:v>Q1 2024</c:v>
                </c:pt>
                <c:pt idx="3">
                  <c:v>Q2 2024</c:v>
                </c:pt>
                <c:pt idx="4">
                  <c:v>Q3 2024</c:v>
                </c:pt>
                <c:pt idx="5">
                  <c:v>Q4 2024</c:v>
                </c:pt>
                <c:pt idx="6">
                  <c:v>Q1 2025</c:v>
                </c:pt>
                <c:pt idx="7">
                  <c:v>Q2 2025</c:v>
                </c:pt>
                <c:pt idx="8">
                  <c:v>Q3 2025</c:v>
                </c:pt>
              </c:strCache>
            </c:strRef>
          </c:cat>
          <c:val>
            <c:numRef>
              <c:f>'IS - Quarterly'!$C$28:$M$28</c:f>
              <c:numCache>
                <c:formatCode>_(* #,##0_);_(* \(#,##0\);_(* "-"??_);_(@_)</c:formatCode>
                <c:ptCount val="9"/>
                <c:pt idx="0">
                  <c:v>-1511</c:v>
                </c:pt>
                <c:pt idx="1">
                  <c:v>1553</c:v>
                </c:pt>
                <c:pt idx="2">
                  <c:v>-1669</c:v>
                </c:pt>
                <c:pt idx="3">
                  <c:v>-2451</c:v>
                </c:pt>
                <c:pt idx="4">
                  <c:v>2412</c:v>
                </c:pt>
                <c:pt idx="5">
                  <c:v>-1002</c:v>
                </c:pt>
                <c:pt idx="6">
                  <c:v>-1352</c:v>
                </c:pt>
                <c:pt idx="7">
                  <c:v>-54</c:v>
                </c:pt>
                <c:pt idx="8">
                  <c:v>-665</c:v>
                </c:pt>
              </c:numCache>
            </c:numRef>
          </c:val>
          <c:extLst>
            <c:ext xmlns:c16="http://schemas.microsoft.com/office/drawing/2014/chart" uri="{C3380CC4-5D6E-409C-BE32-E72D297353CC}">
              <c16:uniqueId val="{00000002-E672-964A-B305-E183697661A3}"/>
            </c:ext>
          </c:extLst>
        </c:ser>
        <c:dLbls>
          <c:showLegendKey val="0"/>
          <c:showVal val="0"/>
          <c:showCatName val="0"/>
          <c:showSerName val="0"/>
          <c:showPercent val="0"/>
          <c:showBubbleSize val="0"/>
        </c:dLbls>
        <c:gapWidth val="219"/>
        <c:axId val="1554803231"/>
        <c:axId val="1554808031"/>
      </c:barChart>
      <c:catAx>
        <c:axId val="1554803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8031"/>
        <c:crosses val="autoZero"/>
        <c:auto val="1"/>
        <c:lblAlgn val="ctr"/>
        <c:lblOffset val="100"/>
        <c:noMultiLvlLbl val="0"/>
      </c:catAx>
      <c:valAx>
        <c:axId val="1554808031"/>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55480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r>
              <a:rPr lang="en-US" b="0" i="0">
                <a:latin typeface="Montserrat Medium" pitchFamily="2" charset="77"/>
              </a:rPr>
              <a:t>Managed Capital and Asset Management 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ontserrat Medium" pitchFamily="2" charset="77"/>
              <a:ea typeface="+mn-ea"/>
              <a:cs typeface="+mn-cs"/>
            </a:defRPr>
          </a:pPr>
          <a:endParaRPr lang="en-US"/>
        </a:p>
      </c:txPr>
    </c:title>
    <c:autoTitleDeleted val="0"/>
    <c:plotArea>
      <c:layout>
        <c:manualLayout>
          <c:layoutTarget val="inner"/>
          <c:xMode val="edge"/>
          <c:yMode val="edge"/>
          <c:x val="0.10184673542241278"/>
          <c:y val="0.10006761958172522"/>
          <c:w val="0.87976921103985439"/>
          <c:h val="0.71487090886291116"/>
        </c:manualLayout>
      </c:layout>
      <c:barChart>
        <c:barDir val="col"/>
        <c:grouping val="clustered"/>
        <c:varyColors val="0"/>
        <c:ser>
          <c:idx val="1"/>
          <c:order val="1"/>
          <c:tx>
            <c:strRef>
              <c:f>'IS - Quarterly'!$B$36</c:f>
              <c:strCache>
                <c:ptCount val="1"/>
                <c:pt idx="0">
                  <c:v>Capital Originations</c:v>
                </c:pt>
              </c:strCache>
            </c:strRef>
          </c:tx>
          <c:spPr>
            <a:solidFill>
              <a:srgbClr val="AD7F5B"/>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Quarterly'!$C$2:$M$2</c:f>
              <c:strCache>
                <c:ptCount val="9"/>
                <c:pt idx="0">
                  <c:v>Q3 2023</c:v>
                </c:pt>
                <c:pt idx="1">
                  <c:v>Q4 2023</c:v>
                </c:pt>
                <c:pt idx="2">
                  <c:v>Q1 2024</c:v>
                </c:pt>
                <c:pt idx="3">
                  <c:v>Q2 2024</c:v>
                </c:pt>
                <c:pt idx="4">
                  <c:v>Q3 2024</c:v>
                </c:pt>
                <c:pt idx="5">
                  <c:v>Q4 2024</c:v>
                </c:pt>
                <c:pt idx="6">
                  <c:v>Q1 2025</c:v>
                </c:pt>
                <c:pt idx="7">
                  <c:v>Q2 2025</c:v>
                </c:pt>
                <c:pt idx="8">
                  <c:v>Q3 2025</c:v>
                </c:pt>
              </c:strCache>
            </c:strRef>
          </c:cat>
          <c:val>
            <c:numRef>
              <c:f>'IS - Quarterly'!$C$36:$M$36</c:f>
              <c:numCache>
                <c:formatCode>_(* #,##0_);_(* \(#,##0\);_(* "-"??_);_(@_)</c:formatCode>
                <c:ptCount val="9"/>
                <c:pt idx="0">
                  <c:v>12958</c:v>
                </c:pt>
                <c:pt idx="1">
                  <c:v>38622</c:v>
                </c:pt>
                <c:pt idx="2">
                  <c:v>19099</c:v>
                </c:pt>
                <c:pt idx="3">
                  <c:v>18936</c:v>
                </c:pt>
                <c:pt idx="4">
                  <c:v>23372</c:v>
                </c:pt>
                <c:pt idx="5">
                  <c:v>7552</c:v>
                </c:pt>
                <c:pt idx="6">
                  <c:v>2990</c:v>
                </c:pt>
                <c:pt idx="7">
                  <c:v>4226</c:v>
                </c:pt>
                <c:pt idx="8">
                  <c:v>8086</c:v>
                </c:pt>
              </c:numCache>
            </c:numRef>
          </c:val>
          <c:extLst>
            <c:ext xmlns:c16="http://schemas.microsoft.com/office/drawing/2014/chart" uri="{C3380CC4-5D6E-409C-BE32-E72D297353CC}">
              <c16:uniqueId val="{00000000-7B12-4945-A7B8-6E6B0B8E1614}"/>
            </c:ext>
          </c:extLst>
        </c:ser>
        <c:ser>
          <c:idx val="2"/>
          <c:order val="2"/>
          <c:tx>
            <c:strRef>
              <c:f>'IS - Quarterly'!$B$37</c:f>
              <c:strCache>
                <c:ptCount val="1"/>
                <c:pt idx="0">
                  <c:v>Managed Capital</c:v>
                </c:pt>
              </c:strCache>
            </c:strRef>
          </c:tx>
          <c:spPr>
            <a:solidFill>
              <a:srgbClr val="252525"/>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Quarterly'!$C$2:$M$2</c:f>
              <c:strCache>
                <c:ptCount val="9"/>
                <c:pt idx="0">
                  <c:v>Q3 2023</c:v>
                </c:pt>
                <c:pt idx="1">
                  <c:v>Q4 2023</c:v>
                </c:pt>
                <c:pt idx="2">
                  <c:v>Q1 2024</c:v>
                </c:pt>
                <c:pt idx="3">
                  <c:v>Q2 2024</c:v>
                </c:pt>
                <c:pt idx="4">
                  <c:v>Q3 2024</c:v>
                </c:pt>
                <c:pt idx="5">
                  <c:v>Q4 2024</c:v>
                </c:pt>
                <c:pt idx="6">
                  <c:v>Q1 2025</c:v>
                </c:pt>
                <c:pt idx="7">
                  <c:v>Q2 2025</c:v>
                </c:pt>
                <c:pt idx="8">
                  <c:v>Q3 2025</c:v>
                </c:pt>
              </c:strCache>
            </c:strRef>
          </c:cat>
          <c:val>
            <c:numRef>
              <c:f>'IS - Quarterly'!$C$37:$M$37</c:f>
              <c:numCache>
                <c:formatCode>_(* #,##0_);_(* \(#,##0\);_(* "-"??_);_(@_)</c:formatCode>
                <c:ptCount val="9"/>
                <c:pt idx="0">
                  <c:v>412446</c:v>
                </c:pt>
                <c:pt idx="1">
                  <c:v>437625</c:v>
                </c:pt>
                <c:pt idx="2">
                  <c:v>453905</c:v>
                </c:pt>
                <c:pt idx="3">
                  <c:v>469800</c:v>
                </c:pt>
                <c:pt idx="4">
                  <c:v>485272</c:v>
                </c:pt>
                <c:pt idx="5">
                  <c:v>492542</c:v>
                </c:pt>
                <c:pt idx="6">
                  <c:v>495217</c:v>
                </c:pt>
                <c:pt idx="7">
                  <c:v>498567</c:v>
                </c:pt>
                <c:pt idx="8">
                  <c:v>505989</c:v>
                </c:pt>
              </c:numCache>
            </c:numRef>
          </c:val>
          <c:extLst>
            <c:ext xmlns:c16="http://schemas.microsoft.com/office/drawing/2014/chart" uri="{C3380CC4-5D6E-409C-BE32-E72D297353CC}">
              <c16:uniqueId val="{00000001-7B12-4945-A7B8-6E6B0B8E1614}"/>
            </c:ext>
          </c:extLst>
        </c:ser>
        <c:ser>
          <c:idx val="3"/>
          <c:order val="3"/>
          <c:tx>
            <c:strRef>
              <c:f>'IS - Quarterly'!$B$38</c:f>
              <c:strCache>
                <c:ptCount val="1"/>
                <c:pt idx="0">
                  <c:v>Fair Value Assets Under Management (AUM)</c:v>
                </c:pt>
              </c:strCache>
            </c:strRef>
          </c:tx>
          <c:spPr>
            <a:solidFill>
              <a:srgbClr val="DBAD77"/>
            </a:solidFill>
            <a:ln>
              <a:noFill/>
            </a:ln>
            <a:effectLst/>
          </c:spPr>
          <c:invertIfNegative val="0"/>
          <c:dLbls>
            <c:numFmt formatCode="&quot;$&quot;#,&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Quarterly'!$C$2:$M$2</c:f>
              <c:strCache>
                <c:ptCount val="9"/>
                <c:pt idx="0">
                  <c:v>Q3 2023</c:v>
                </c:pt>
                <c:pt idx="1">
                  <c:v>Q4 2023</c:v>
                </c:pt>
                <c:pt idx="2">
                  <c:v>Q1 2024</c:v>
                </c:pt>
                <c:pt idx="3">
                  <c:v>Q2 2024</c:v>
                </c:pt>
                <c:pt idx="4">
                  <c:v>Q3 2024</c:v>
                </c:pt>
                <c:pt idx="5">
                  <c:v>Q4 2024</c:v>
                </c:pt>
                <c:pt idx="6">
                  <c:v>Q1 2025</c:v>
                </c:pt>
                <c:pt idx="7">
                  <c:v>Q2 2025</c:v>
                </c:pt>
                <c:pt idx="8">
                  <c:v>Q3 2025</c:v>
                </c:pt>
              </c:strCache>
            </c:strRef>
          </c:cat>
          <c:val>
            <c:numRef>
              <c:f>'IS - Quarterly'!$C$38:$M$38</c:f>
              <c:numCache>
                <c:formatCode>_(* #,##0_);_(* \(#,##0\);_(* "-"??_);_(@_)</c:formatCode>
                <c:ptCount val="9"/>
                <c:pt idx="0">
                  <c:v>822470</c:v>
                </c:pt>
                <c:pt idx="1">
                  <c:v>741190</c:v>
                </c:pt>
                <c:pt idx="2">
                  <c:v>766738</c:v>
                </c:pt>
                <c:pt idx="3">
                  <c:v>773213</c:v>
                </c:pt>
                <c:pt idx="4">
                  <c:v>806961</c:v>
                </c:pt>
                <c:pt idx="5">
                  <c:v>794923</c:v>
                </c:pt>
                <c:pt idx="6">
                  <c:v>830758</c:v>
                </c:pt>
                <c:pt idx="7">
                  <c:v>803176</c:v>
                </c:pt>
                <c:pt idx="8">
                  <c:v>797033</c:v>
                </c:pt>
              </c:numCache>
            </c:numRef>
          </c:val>
          <c:extLst>
            <c:ext xmlns:c16="http://schemas.microsoft.com/office/drawing/2014/chart" uri="{C3380CC4-5D6E-409C-BE32-E72D297353CC}">
              <c16:uniqueId val="{00000002-7B12-4945-A7B8-6E6B0B8E1614}"/>
            </c:ext>
          </c:extLst>
        </c:ser>
        <c:dLbls>
          <c:showLegendKey val="0"/>
          <c:showVal val="0"/>
          <c:showCatName val="0"/>
          <c:showSerName val="0"/>
          <c:showPercent val="0"/>
          <c:showBubbleSize val="0"/>
        </c:dLbls>
        <c:gapWidth val="219"/>
        <c:overlap val="-27"/>
        <c:axId val="401309760"/>
        <c:axId val="401311472"/>
      </c:barChart>
      <c:lineChart>
        <c:grouping val="standard"/>
        <c:varyColors val="0"/>
        <c:ser>
          <c:idx val="0"/>
          <c:order val="0"/>
          <c:tx>
            <c:strRef>
              <c:f>'IS - Quarterly'!$B$5</c:f>
              <c:strCache>
                <c:ptCount val="1"/>
                <c:pt idx="0">
                  <c:v>Asset management revenues</c:v>
                </c:pt>
              </c:strCache>
            </c:strRef>
          </c:tx>
          <c:spPr>
            <a:ln w="28575" cap="rnd">
              <a:solidFill>
                <a:srgbClr val="AD7F5B"/>
              </a:solidFill>
              <a:round/>
            </a:ln>
            <a:effectLst/>
          </c:spPr>
          <c:marker>
            <c:symbol val="none"/>
          </c:marker>
          <c:dLbls>
            <c:dLbl>
              <c:idx val="6"/>
              <c:layout>
                <c:manualLayout>
                  <c:x val="-4.1437854907080442E-2"/>
                  <c:y val="-6.3117217228660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8A-42CF-A538-317841697911}"/>
                </c:ext>
              </c:extLst>
            </c:dLbl>
            <c:dLbl>
              <c:idx val="8"/>
              <c:layout>
                <c:manualLayout>
                  <c:x val="-2.0143653649143278E-2"/>
                  <c:y val="-8.767912139296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8A-42CF-A538-317841697911}"/>
                </c:ext>
              </c:extLst>
            </c:dLbl>
            <c:numFmt formatCode="&quot;$&quot;#.0,&quot;MM&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'IS - Quarterly'!$C$2:$M$2</c:f>
              <c:strCache>
                <c:ptCount val="9"/>
                <c:pt idx="0">
                  <c:v>Q3 2023</c:v>
                </c:pt>
                <c:pt idx="1">
                  <c:v>Q4 2023</c:v>
                </c:pt>
                <c:pt idx="2">
                  <c:v>Q1 2024</c:v>
                </c:pt>
                <c:pt idx="3">
                  <c:v>Q2 2024</c:v>
                </c:pt>
                <c:pt idx="4">
                  <c:v>Q3 2024</c:v>
                </c:pt>
                <c:pt idx="5">
                  <c:v>Q4 2024</c:v>
                </c:pt>
                <c:pt idx="6">
                  <c:v>Q1 2025</c:v>
                </c:pt>
                <c:pt idx="7">
                  <c:v>Q2 2025</c:v>
                </c:pt>
                <c:pt idx="8">
                  <c:v>Q3 2025</c:v>
                </c:pt>
              </c:strCache>
            </c:strRef>
          </c:cat>
          <c:val>
            <c:numRef>
              <c:f>'IS - Quarterly'!$C$5:$M$5</c:f>
              <c:numCache>
                <c:formatCode>_("$"* #,##0_);_("$"* \(#,##0\);_("$"* "-"??_);_(@_)</c:formatCode>
                <c:ptCount val="9"/>
                <c:pt idx="0">
                  <c:v>3704</c:v>
                </c:pt>
                <c:pt idx="1">
                  <c:v>6005</c:v>
                </c:pt>
                <c:pt idx="2">
                  <c:v>4555</c:v>
                </c:pt>
                <c:pt idx="3">
                  <c:v>4179</c:v>
                </c:pt>
                <c:pt idx="4">
                  <c:v>7242</c:v>
                </c:pt>
                <c:pt idx="5">
                  <c:v>4587</c:v>
                </c:pt>
                <c:pt idx="6">
                  <c:v>3542</c:v>
                </c:pt>
                <c:pt idx="7">
                  <c:v>4103</c:v>
                </c:pt>
                <c:pt idx="8">
                  <c:v>3514</c:v>
                </c:pt>
              </c:numCache>
            </c:numRef>
          </c:val>
          <c:smooth val="0"/>
          <c:extLst>
            <c:ext xmlns:c16="http://schemas.microsoft.com/office/drawing/2014/chart" uri="{C3380CC4-5D6E-409C-BE32-E72D297353CC}">
              <c16:uniqueId val="{00000004-7B12-4945-A7B8-6E6B0B8E1614}"/>
            </c:ext>
          </c:extLst>
        </c:ser>
        <c:dLbls>
          <c:showLegendKey val="0"/>
          <c:showVal val="0"/>
          <c:showCatName val="0"/>
          <c:showSerName val="0"/>
          <c:showPercent val="0"/>
          <c:showBubbleSize val="0"/>
        </c:dLbls>
        <c:marker val="1"/>
        <c:smooth val="0"/>
        <c:axId val="885695248"/>
        <c:axId val="2145082303"/>
      </c:lineChart>
      <c:catAx>
        <c:axId val="40130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11472"/>
        <c:crosses val="autoZero"/>
        <c:auto val="1"/>
        <c:lblAlgn val="ctr"/>
        <c:lblOffset val="100"/>
        <c:noMultiLvlLbl val="0"/>
      </c:catAx>
      <c:valAx>
        <c:axId val="401311472"/>
        <c:scaling>
          <c:orientation val="minMax"/>
          <c:max val="120000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01309760"/>
        <c:crosses val="autoZero"/>
        <c:crossBetween val="between"/>
      </c:valAx>
      <c:valAx>
        <c:axId val="2145082303"/>
        <c:scaling>
          <c:orientation val="minMax"/>
        </c:scaling>
        <c:delete val="0"/>
        <c:axPos val="r"/>
        <c:numFmt formatCode="_(&quot;$&quot;* #,##0_);_(&quot;$&quot;* \(#,##0\);_(&quot;$&quot;* &quot;-&quot;??_);_(@_)"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695248"/>
        <c:crosses val="max"/>
        <c:crossBetween val="between"/>
      </c:valAx>
      <c:catAx>
        <c:axId val="885695248"/>
        <c:scaling>
          <c:orientation val="minMax"/>
        </c:scaling>
        <c:delete val="1"/>
        <c:axPos val="b"/>
        <c:numFmt formatCode="General" sourceLinked="1"/>
        <c:majorTickMark val="out"/>
        <c:minorTickMark val="none"/>
        <c:tickLblPos val="nextTo"/>
        <c:crossAx val="214508230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76198</xdr:rowOff>
    </xdr:from>
    <xdr:to>
      <xdr:col>15</xdr:col>
      <xdr:colOff>253999</xdr:colOff>
      <xdr:row>55</xdr:row>
      <xdr:rowOff>83819</xdr:rowOff>
    </xdr:to>
    <xdr:sp macro="" textlink="">
      <xdr:nvSpPr>
        <xdr:cNvPr id="2" name="TextBox 1">
          <a:extLst>
            <a:ext uri="{FF2B5EF4-FFF2-40B4-BE49-F238E27FC236}">
              <a16:creationId xmlns:a16="http://schemas.microsoft.com/office/drawing/2014/main" id="{C11CC82C-8240-84F0-9FCE-E5B9D26A9585}"/>
            </a:ext>
          </a:extLst>
        </xdr:cNvPr>
        <xdr:cNvSpPr txBox="1"/>
      </xdr:nvSpPr>
      <xdr:spPr>
        <a:xfrm>
          <a:off x="0" y="3368038"/>
          <a:ext cx="9397999" cy="6774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Over the past 16 years, Caliber has grown into a leading diversified alternative asset management firm, managing more than $2.7 billion in assets under management and assets under development. Caliber’s primary goal is to enhance the wealth of accredited investors seeking to make investments in middle-market assets. We strive to build wealth for our clients by creating, managing, and servicing middle-market investment funds, private syndications, and direct investments. Through our funds, we invest primarily in real estate, private equity, and debt facilities. We market and fundraise to private investors, family offices, and institutions (“Direct Channel”) and to registered investment advisers and independent broker-dealers (“Wholesale Channel”).</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Through our Asset Management Platform (“Platform”), our team executes fund management, fund administration, asset financing, development and construction management and real estate brokerage activities, which generate fees, expenses and liabilities. U.S. GAAP rules require Caliber to consolidate certain funds we manage into our operating results, which can obscure the underlying performance of the Platform. This supplemental data is intended to provide Caliber shareholders with a more transparent view of its financial performance excluding the impact of</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consolidation.</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Management also believes this additional information is more meaningful when comparing prior period performance.  </a:t>
          </a:r>
        </a:p>
        <a:p>
          <a:pPr algn="l"/>
          <a:endPar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Digital Asset Treasury											</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August 2025, our Board of Directors approved a new digital asset treasury policy designed to enhance the Company’s balance sheet strength, liquidity profile, and long-term growth potential. Under this policy, Caliber intends to allocate a portion of its corporate treasury to digital assets that demonstrate institutional utility and adoption potential, beginning with Chainlink (LINK). Chainlink is the leading decentralized oracle network that enables smart contracts and traditional systems to securely interact with real-world data. The Company selected LINK as its inaugural digital asset because it represents core infrastructure within the blockchain ecosystem; supporting the growth of tokenization, decentralized finance, and real-world asset integration. Management believes that Chainlink’s enterprise adoption, technology maturity, and network resilience make LINK an attractive long-term holding relative to other digital assets at similar stages of adoption.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algn="l"/>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Since adoption of the policy, Caliber has raised capital through equity issuances and deployed a portion of those proceeds to accumulate LINK tokens as a long-term reserve asset. These holdings are reflected on our balance sheet at fair value as of September 30, 2025. Changes in the fair value of our LINK tokens are reflected within net loss on our Platform</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statements of operations for the three and nine months ended September 30, 2025.</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algn="l"/>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following information summarizes the annual income statements and balance sheets for the Platform for the years 2019 through Q3 2025, and the quarterly results for the period beginning Q3 2023 through Q3 2025. Also included are changes in managed capital and Assets Under Management for the same periods, which are intended to help investors understand how changes in these measures impact Platform revenues.</a:t>
          </a: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en-US"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0</xdr:colOff>
      <xdr:row>2</xdr:row>
      <xdr:rowOff>12700</xdr:rowOff>
    </xdr:from>
    <xdr:to>
      <xdr:col>11</xdr:col>
      <xdr:colOff>190500</xdr:colOff>
      <xdr:row>16</xdr:row>
      <xdr:rowOff>165100</xdr:rowOff>
    </xdr:to>
    <xdr:sp macro="" textlink="">
      <xdr:nvSpPr>
        <xdr:cNvPr id="4" name="TextBox 3">
          <a:extLst>
            <a:ext uri="{FF2B5EF4-FFF2-40B4-BE49-F238E27FC236}">
              <a16:creationId xmlns:a16="http://schemas.microsoft.com/office/drawing/2014/main" id="{B4FF383E-4B7B-D111-7638-108B9605FF44}"/>
            </a:ext>
          </a:extLst>
        </xdr:cNvPr>
        <xdr:cNvSpPr txBox="1"/>
      </xdr:nvSpPr>
      <xdr:spPr>
        <a:xfrm>
          <a:off x="0" y="393700"/>
          <a:ext cx="759460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i="0">
              <a:solidFill>
                <a:srgbClr val="252525"/>
              </a:solidFill>
              <a:latin typeface="Montserrat" pitchFamily="2" charset="77"/>
            </a:rPr>
            <a:t>Caliber's Supplemental Asset</a:t>
          </a:r>
          <a:r>
            <a:rPr lang="en-US" sz="4000" b="1" i="0" baseline="0">
              <a:solidFill>
                <a:srgbClr val="252525"/>
              </a:solidFill>
              <a:latin typeface="Montserrat" pitchFamily="2" charset="77"/>
            </a:rPr>
            <a:t> Management Financial Information</a:t>
          </a:r>
        </a:p>
        <a:p>
          <a:br>
            <a:rPr lang="en-US" sz="4000" b="1" i="0" baseline="0">
              <a:solidFill>
                <a:srgbClr val="252525"/>
              </a:solidFill>
              <a:latin typeface="Montserrat" pitchFamily="2" charset="77"/>
            </a:rPr>
          </a:br>
          <a:r>
            <a:rPr lang="en-US" sz="1400" b="1" i="0" baseline="0">
              <a:solidFill>
                <a:srgbClr val="DBAD77"/>
              </a:solidFill>
              <a:latin typeface="Montserrat" pitchFamily="2" charset="77"/>
            </a:rPr>
            <a:t>November 13, 2025</a:t>
          </a:r>
          <a:endParaRPr lang="en-US" sz="1400" b="1" i="0">
            <a:solidFill>
              <a:srgbClr val="DBAD77"/>
            </a:solidFill>
            <a:latin typeface="Montserrat" pitchFamily="2" charset="77"/>
          </a:endParaRPr>
        </a:p>
      </xdr:txBody>
    </xdr:sp>
    <xdr:clientData/>
  </xdr:twoCellAnchor>
  <xdr:twoCellAnchor editAs="oneCell">
    <xdr:from>
      <xdr:col>11</xdr:col>
      <xdr:colOff>28575</xdr:colOff>
      <xdr:row>2</xdr:row>
      <xdr:rowOff>165101</xdr:rowOff>
    </xdr:from>
    <xdr:to>
      <xdr:col>15</xdr:col>
      <xdr:colOff>72447</xdr:colOff>
      <xdr:row>9</xdr:row>
      <xdr:rowOff>38101</xdr:rowOff>
    </xdr:to>
    <xdr:pic>
      <xdr:nvPicPr>
        <xdr:cNvPr id="3" name="Picture 2">
          <a:extLst>
            <a:ext uri="{FF2B5EF4-FFF2-40B4-BE49-F238E27FC236}">
              <a16:creationId xmlns:a16="http://schemas.microsoft.com/office/drawing/2014/main" id="{478915CE-C92E-FB1A-0D19-6D9D307ECB38}"/>
            </a:ext>
          </a:extLst>
        </xdr:cNvPr>
        <xdr:cNvPicPr>
          <a:picLocks noChangeAspect="1"/>
        </xdr:cNvPicPr>
      </xdr:nvPicPr>
      <xdr:blipFill>
        <a:blip xmlns:r="http://schemas.openxmlformats.org/officeDocument/2006/relationships" r:embed="rId1"/>
        <a:stretch>
          <a:fillRect/>
        </a:stretch>
      </xdr:blipFill>
      <xdr:spPr>
        <a:xfrm>
          <a:off x="6524625" y="546101"/>
          <a:ext cx="2406072" cy="120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42333</xdr:colOff>
      <xdr:row>1</xdr:row>
      <xdr:rowOff>84667</xdr:rowOff>
    </xdr:from>
    <xdr:to>
      <xdr:col>9</xdr:col>
      <xdr:colOff>719666</xdr:colOff>
      <xdr:row>24</xdr:row>
      <xdr:rowOff>148167</xdr:rowOff>
    </xdr:to>
    <xdr:graphicFrame macro="">
      <xdr:nvGraphicFramePr>
        <xdr:cNvPr id="2" name="Chart 1">
          <a:extLst>
            <a:ext uri="{FF2B5EF4-FFF2-40B4-BE49-F238E27FC236}">
              <a16:creationId xmlns:a16="http://schemas.microsoft.com/office/drawing/2014/main" id="{5C84C034-53E9-CC48-B4A7-783B26FE4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2294</xdr:colOff>
      <xdr:row>24</xdr:row>
      <xdr:rowOff>152400</xdr:rowOff>
    </xdr:from>
    <xdr:to>
      <xdr:col>9</xdr:col>
      <xdr:colOff>743271</xdr:colOff>
      <xdr:row>50</xdr:row>
      <xdr:rowOff>152399</xdr:rowOff>
    </xdr:to>
    <xdr:graphicFrame macro="">
      <xdr:nvGraphicFramePr>
        <xdr:cNvPr id="5" name="Chart 4">
          <a:extLst>
            <a:ext uri="{FF2B5EF4-FFF2-40B4-BE49-F238E27FC236}">
              <a16:creationId xmlns:a16="http://schemas.microsoft.com/office/drawing/2014/main" id="{A05DA633-0A41-5641-BDA5-807873F78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42333</xdr:colOff>
      <xdr:row>0</xdr:row>
      <xdr:rowOff>28575</xdr:rowOff>
    </xdr:from>
    <xdr:to>
      <xdr:col>9</xdr:col>
      <xdr:colOff>719666</xdr:colOff>
      <xdr:row>23</xdr:row>
      <xdr:rowOff>148167</xdr:rowOff>
    </xdr:to>
    <xdr:graphicFrame macro="">
      <xdr:nvGraphicFramePr>
        <xdr:cNvPr id="2" name="Chart 1">
          <a:extLst>
            <a:ext uri="{FF2B5EF4-FFF2-40B4-BE49-F238E27FC236}">
              <a16:creationId xmlns:a16="http://schemas.microsoft.com/office/drawing/2014/main" id="{032FCEF9-4505-7E43-BC75-EC322219C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21344</xdr:colOff>
      <xdr:row>23</xdr:row>
      <xdr:rowOff>133350</xdr:rowOff>
    </xdr:from>
    <xdr:to>
      <xdr:col>10</xdr:col>
      <xdr:colOff>321</xdr:colOff>
      <xdr:row>49</xdr:row>
      <xdr:rowOff>32018</xdr:rowOff>
    </xdr:to>
    <xdr:graphicFrame macro="">
      <xdr:nvGraphicFramePr>
        <xdr:cNvPr id="3" name="Chart 2">
          <a:extLst>
            <a:ext uri="{FF2B5EF4-FFF2-40B4-BE49-F238E27FC236}">
              <a16:creationId xmlns:a16="http://schemas.microsoft.com/office/drawing/2014/main" id="{9ED9E2DA-6B2E-A943-AA91-171E8E7D9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arah Melone" id="{3C1CD950-3BB1-4734-9D0B-DEC844B123FA}" userId="Sarah Melone" providerId="None"/>
  <person displayName="Jennifer Martin" id="{4963795E-008B-4BF8-BD80-3D320906EF5C}" userId="jennifer.martin@caliberco.com" providerId="PeoplePicker"/>
  <person displayName="Paul Trowbridge" id="{3A4832B3-C4D3-4E75-948F-BE6ADDC50412}" userId="paul.trowbridge@caliberco.com" providerId="PeoplePicker"/>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4" dT="2025-05-15T20:40:42.72" personId="{3C1CD950-3BB1-4734-9D0B-DEC844B123FA}" id="{AC40C470-570C-473C-BCD4-20C2F04A608B}">
    <text>@Paul Trowbridge @Jennifer Martin I’m having trouble getting this chart to update &amp; keep the years showing</text>
    <mentions>
      <mention mentionpersonId="{3A4832B3-C4D3-4E75-948F-BE6ADDC50412}" mentionId="{1E5651F7-4598-4CC0-A7D8-63F79D29EF6D}" startIndex="0" length="16"/>
      <mention mentionpersonId="{4963795E-008B-4BF8-BD80-3D320906EF5C}" mentionId="{822BF5AB-BF9E-4F08-8B0C-AC9CF83B5E00}" startIndex="17" length="1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C4FD-41BE-4BE7-86E3-5EED606196A8}">
  <sheetPr>
    <pageSetUpPr fitToPage="1"/>
  </sheetPr>
  <dimension ref="A1"/>
  <sheetViews>
    <sheetView tabSelected="1" topLeftCell="A33" workbookViewId="0">
      <selection activeCell="S37" sqref="S37"/>
    </sheetView>
  </sheetViews>
  <sheetFormatPr defaultColWidth="8.88671875" defaultRowHeight="14.4" x14ac:dyDescent="0.3"/>
  <cols>
    <col min="1" max="16384" width="8.88671875" style="6"/>
  </cols>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5131-8D69-1246-A5A7-FCB5E12C311D}">
  <sheetPr>
    <tabColor rgb="FF2C6B73"/>
    <pageSetUpPr fitToPage="1"/>
  </sheetPr>
  <dimension ref="A1:X27"/>
  <sheetViews>
    <sheetView showGridLines="0" view="pageBreakPreview" zoomScaleNormal="100" zoomScaleSheetLayoutView="100" workbookViewId="0">
      <selection activeCell="S27" sqref="S27"/>
    </sheetView>
  </sheetViews>
  <sheetFormatPr defaultColWidth="10.88671875" defaultRowHeight="14.4" x14ac:dyDescent="0.3"/>
  <cols>
    <col min="1" max="1" width="50" customWidth="1"/>
    <col min="2" max="2" width="13.109375" customWidth="1"/>
    <col min="3" max="3" width="2.33203125" customWidth="1"/>
    <col min="4" max="4" width="13.109375" customWidth="1"/>
    <col min="5" max="5" width="2.33203125" customWidth="1"/>
    <col min="6" max="6" width="13.109375" customWidth="1"/>
    <col min="7" max="7" width="2.33203125" customWidth="1"/>
    <col min="8" max="8" width="13.109375" customWidth="1"/>
    <col min="9" max="9" width="2.33203125" customWidth="1"/>
    <col min="10" max="10" width="13.109375" customWidth="1"/>
    <col min="11" max="11" width="2.33203125" customWidth="1"/>
    <col min="12" max="12" width="13.109375" customWidth="1"/>
    <col min="13" max="13" width="2.33203125" customWidth="1"/>
    <col min="14" max="14" width="13.109375" customWidth="1"/>
    <col min="15" max="15" width="2.33203125" customWidth="1"/>
    <col min="16" max="16" width="13.109375" customWidth="1"/>
    <col min="17" max="17" width="2.33203125" customWidth="1"/>
    <col min="18" max="18" width="13.109375" customWidth="1"/>
    <col min="19" max="19" width="2.33203125" customWidth="1"/>
    <col min="20" max="20" width="13.109375" customWidth="1"/>
    <col min="21" max="21" width="2.33203125" customWidth="1"/>
    <col min="22" max="22" width="13.109375" customWidth="1"/>
    <col min="23" max="23" width="2.33203125" customWidth="1"/>
    <col min="24" max="24" width="13.109375" customWidth="1"/>
  </cols>
  <sheetData>
    <row r="1" spans="1:24" ht="15" x14ac:dyDescent="0.35">
      <c r="A1" s="7"/>
      <c r="B1" s="74">
        <v>45382</v>
      </c>
      <c r="C1" s="74"/>
      <c r="D1" s="74"/>
      <c r="E1" s="74"/>
      <c r="F1" s="74"/>
      <c r="G1" s="7"/>
      <c r="H1" s="74">
        <v>45473</v>
      </c>
      <c r="I1" s="74"/>
      <c r="J1" s="74"/>
      <c r="K1" s="74"/>
      <c r="L1" s="74"/>
      <c r="M1" s="7"/>
      <c r="N1" s="74">
        <v>45565</v>
      </c>
      <c r="O1" s="74"/>
      <c r="P1" s="74"/>
      <c r="Q1" s="74"/>
      <c r="R1" s="74"/>
      <c r="S1" s="7"/>
      <c r="T1" s="74">
        <v>45657</v>
      </c>
      <c r="U1" s="74"/>
      <c r="V1" s="74"/>
      <c r="W1" s="74"/>
      <c r="X1" s="74"/>
    </row>
    <row r="2" spans="1:24" ht="45" x14ac:dyDescent="0.35">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 x14ac:dyDescent="0.35">
      <c r="A3" s="7" t="s">
        <v>45</v>
      </c>
      <c r="B3" s="7"/>
      <c r="C3" s="7"/>
      <c r="D3" s="7"/>
      <c r="E3" s="7"/>
      <c r="F3" s="7"/>
      <c r="G3" s="7"/>
      <c r="H3" s="7"/>
      <c r="I3" s="7"/>
      <c r="J3" s="7"/>
      <c r="K3" s="7"/>
      <c r="L3" s="7"/>
      <c r="M3" s="7"/>
      <c r="N3" s="7"/>
      <c r="O3" s="7"/>
      <c r="P3" s="7"/>
      <c r="Q3" s="7"/>
      <c r="R3" s="7"/>
      <c r="S3" s="7"/>
      <c r="T3" s="7"/>
      <c r="U3" s="7"/>
      <c r="V3" s="7"/>
      <c r="W3" s="7"/>
      <c r="X3" s="7"/>
    </row>
    <row r="4" spans="1:24" ht="15" x14ac:dyDescent="0.35">
      <c r="A4" s="7" t="s">
        <v>46</v>
      </c>
      <c r="B4" s="15">
        <v>3278000</v>
      </c>
      <c r="C4" s="15"/>
      <c r="D4" s="15">
        <v>0</v>
      </c>
      <c r="E4" s="15"/>
      <c r="F4" s="15">
        <v>3278000</v>
      </c>
      <c r="G4" s="7"/>
      <c r="H4" s="15">
        <v>3093000</v>
      </c>
      <c r="I4" s="15"/>
      <c r="J4" s="15">
        <v>0</v>
      </c>
      <c r="K4" s="15"/>
      <c r="L4" s="15">
        <v>3093000</v>
      </c>
      <c r="M4" s="7"/>
      <c r="N4" s="15">
        <v>3050000</v>
      </c>
      <c r="O4" s="15"/>
      <c r="P4" s="15">
        <v>0</v>
      </c>
      <c r="Q4" s="15"/>
      <c r="R4" s="15">
        <v>3050000</v>
      </c>
      <c r="S4" s="7"/>
      <c r="T4" s="15">
        <v>4348000</v>
      </c>
      <c r="U4" s="15"/>
      <c r="V4" s="15">
        <f>X4-T4</f>
        <v>0</v>
      </c>
      <c r="W4" s="15"/>
      <c r="X4" s="15">
        <v>4348000</v>
      </c>
    </row>
    <row r="5" spans="1:24" ht="15" x14ac:dyDescent="0.35">
      <c r="A5" s="7" t="s">
        <v>47</v>
      </c>
      <c r="B5" s="15">
        <v>21749000</v>
      </c>
      <c r="C5" s="15"/>
      <c r="D5" s="15">
        <v>-97000</v>
      </c>
      <c r="E5" s="15"/>
      <c r="F5" s="15">
        <v>21652000</v>
      </c>
      <c r="G5" s="7"/>
      <c r="H5" s="15">
        <v>21733000</v>
      </c>
      <c r="I5" s="15"/>
      <c r="J5" s="15">
        <v>-112000</v>
      </c>
      <c r="K5" s="15"/>
      <c r="L5" s="15">
        <v>21621000</v>
      </c>
      <c r="M5" s="7"/>
      <c r="N5" s="15">
        <v>21644000</v>
      </c>
      <c r="O5" s="15"/>
      <c r="P5" s="15">
        <v>-129000</v>
      </c>
      <c r="Q5" s="15"/>
      <c r="R5" s="15">
        <v>21515000</v>
      </c>
      <c r="S5" s="7"/>
      <c r="T5" s="15">
        <v>21782000</v>
      </c>
      <c r="U5" s="15"/>
      <c r="V5" s="15">
        <f t="shared" ref="V5:V6" si="0">X5-T5</f>
        <v>-210000</v>
      </c>
      <c r="W5" s="15"/>
      <c r="X5" s="15">
        <v>21572000</v>
      </c>
    </row>
    <row r="6" spans="1:24" ht="15" x14ac:dyDescent="0.35">
      <c r="A6" s="7" t="s">
        <v>48</v>
      </c>
      <c r="B6" s="15">
        <v>46663000</v>
      </c>
      <c r="C6" s="15"/>
      <c r="D6" s="15">
        <v>-17721000</v>
      </c>
      <c r="E6" s="15"/>
      <c r="F6" s="15">
        <v>28942000</v>
      </c>
      <c r="G6" s="7"/>
      <c r="H6" s="15">
        <v>40144000</v>
      </c>
      <c r="I6" s="15"/>
      <c r="J6" s="15">
        <v>-12942000</v>
      </c>
      <c r="K6" s="15"/>
      <c r="L6" s="15">
        <v>27202000</v>
      </c>
      <c r="M6" s="7"/>
      <c r="N6" s="15">
        <v>39606000</v>
      </c>
      <c r="O6" s="15"/>
      <c r="P6" s="15">
        <v>-11611000</v>
      </c>
      <c r="Q6" s="15"/>
      <c r="R6" s="15">
        <v>27995000</v>
      </c>
      <c r="S6" s="7"/>
      <c r="T6" s="15">
        <v>30947000</v>
      </c>
      <c r="U6" s="15"/>
      <c r="V6" s="15">
        <f t="shared" si="0"/>
        <v>-4586000</v>
      </c>
      <c r="W6" s="15"/>
      <c r="X6" s="15">
        <v>26361000</v>
      </c>
    </row>
    <row r="7" spans="1:24" ht="15" x14ac:dyDescent="0.35">
      <c r="A7" s="7" t="s">
        <v>62</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46</v>
      </c>
      <c r="B8" s="24">
        <v>0</v>
      </c>
      <c r="C8" s="24"/>
      <c r="D8" s="24">
        <v>2056000</v>
      </c>
      <c r="E8" s="15"/>
      <c r="F8" s="24">
        <v>2056000</v>
      </c>
      <c r="G8" s="7"/>
      <c r="H8" s="24">
        <v>0</v>
      </c>
      <c r="I8" s="24"/>
      <c r="J8" s="24">
        <v>1462000</v>
      </c>
      <c r="K8" s="15"/>
      <c r="L8" s="24">
        <v>1462000</v>
      </c>
      <c r="M8" s="7"/>
      <c r="N8" s="24">
        <v>0</v>
      </c>
      <c r="O8" s="24"/>
      <c r="P8" s="24">
        <v>1053000</v>
      </c>
      <c r="Q8" s="15"/>
      <c r="R8" s="24">
        <v>1053000</v>
      </c>
      <c r="S8" s="7"/>
      <c r="T8" s="24">
        <v>0</v>
      </c>
      <c r="U8" s="24"/>
      <c r="V8" s="15">
        <f t="shared" ref="V8:V10" si="1">X8-T8</f>
        <v>549000</v>
      </c>
      <c r="W8" s="15"/>
      <c r="X8" s="24">
        <v>549000</v>
      </c>
    </row>
    <row r="9" spans="1:24" ht="15" x14ac:dyDescent="0.35">
      <c r="A9" s="7" t="s">
        <v>47</v>
      </c>
      <c r="B9" s="24">
        <v>0</v>
      </c>
      <c r="C9" s="24"/>
      <c r="D9" s="24">
        <v>101037000</v>
      </c>
      <c r="E9" s="15"/>
      <c r="F9" s="24">
        <v>101037000</v>
      </c>
      <c r="G9" s="7"/>
      <c r="H9" s="24">
        <v>0</v>
      </c>
      <c r="I9" s="24"/>
      <c r="J9" s="24">
        <v>83251000</v>
      </c>
      <c r="K9" s="15"/>
      <c r="L9" s="24">
        <v>83251000</v>
      </c>
      <c r="M9" s="7"/>
      <c r="N9" s="24">
        <v>0</v>
      </c>
      <c r="O9" s="24"/>
      <c r="P9" s="24">
        <v>46084000</v>
      </c>
      <c r="Q9" s="15"/>
      <c r="R9" s="24">
        <v>46084000</v>
      </c>
      <c r="S9" s="7"/>
      <c r="T9" s="24">
        <v>0</v>
      </c>
      <c r="U9" s="24"/>
      <c r="V9" s="15">
        <f t="shared" si="1"/>
        <v>45090000</v>
      </c>
      <c r="W9" s="15"/>
      <c r="X9" s="24">
        <v>45090000</v>
      </c>
    </row>
    <row r="10" spans="1:24" ht="15" x14ac:dyDescent="0.35">
      <c r="A10" s="7" t="s">
        <v>48</v>
      </c>
      <c r="B10" s="24">
        <v>0</v>
      </c>
      <c r="C10" s="24"/>
      <c r="D10" s="24">
        <v>44497000</v>
      </c>
      <c r="E10" s="15"/>
      <c r="F10" s="24">
        <v>44497000</v>
      </c>
      <c r="G10" s="7"/>
      <c r="H10" s="24">
        <v>0</v>
      </c>
      <c r="I10" s="24"/>
      <c r="J10" s="24">
        <v>58610000</v>
      </c>
      <c r="K10" s="15"/>
      <c r="L10" s="24">
        <v>58610000</v>
      </c>
      <c r="M10" s="7"/>
      <c r="N10" s="24">
        <v>0</v>
      </c>
      <c r="O10" s="24"/>
      <c r="P10" s="24">
        <v>58886000</v>
      </c>
      <c r="Q10" s="15"/>
      <c r="R10" s="24">
        <v>58886000</v>
      </c>
      <c r="S10" s="7"/>
      <c r="T10" s="24">
        <v>0</v>
      </c>
      <c r="U10" s="24"/>
      <c r="V10" s="15">
        <f t="shared" si="1"/>
        <v>7615000</v>
      </c>
      <c r="W10" s="15"/>
      <c r="X10" s="24">
        <v>7615000</v>
      </c>
    </row>
    <row r="11" spans="1:24" ht="15.6" thickBot="1" x14ac:dyDescent="0.4">
      <c r="A11" s="7" t="s">
        <v>49</v>
      </c>
      <c r="B11" s="33">
        <v>71690000</v>
      </c>
      <c r="C11" s="24"/>
      <c r="D11" s="38">
        <v>129772000</v>
      </c>
      <c r="E11" s="15"/>
      <c r="F11" s="38">
        <v>201462000</v>
      </c>
      <c r="G11" s="7"/>
      <c r="H11" s="33">
        <v>64970000</v>
      </c>
      <c r="I11" s="24"/>
      <c r="J11" s="38">
        <v>130269000</v>
      </c>
      <c r="K11" s="15"/>
      <c r="L11" s="38">
        <v>195239000</v>
      </c>
      <c r="M11" s="7"/>
      <c r="N11" s="33">
        <v>64300000</v>
      </c>
      <c r="O11" s="24"/>
      <c r="P11" s="38">
        <v>94283000</v>
      </c>
      <c r="Q11" s="15"/>
      <c r="R11" s="38">
        <v>158583000</v>
      </c>
      <c r="S11" s="7"/>
      <c r="T11" s="33">
        <f>SUM(T4:T10)</f>
        <v>57077000</v>
      </c>
      <c r="U11" s="24"/>
      <c r="V11" s="33">
        <f>SUM(V4:V10)</f>
        <v>48458000</v>
      </c>
      <c r="W11" s="15"/>
      <c r="X11" s="33">
        <f>SUM(X4:X10)</f>
        <v>105535000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51</v>
      </c>
      <c r="B14" s="15">
        <v>52952000</v>
      </c>
      <c r="C14" s="15"/>
      <c r="D14" s="15">
        <v>0</v>
      </c>
      <c r="E14" s="15"/>
      <c r="F14" s="15">
        <v>52952000</v>
      </c>
      <c r="G14" s="7"/>
      <c r="H14" s="15">
        <v>50169000</v>
      </c>
      <c r="I14" s="15"/>
      <c r="J14" s="15">
        <v>0</v>
      </c>
      <c r="K14" s="15"/>
      <c r="L14" s="15">
        <v>50169000</v>
      </c>
      <c r="M14" s="7"/>
      <c r="N14" s="15">
        <v>49673000</v>
      </c>
      <c r="O14" s="15"/>
      <c r="P14" s="15">
        <v>0</v>
      </c>
      <c r="Q14" s="15"/>
      <c r="R14" s="15">
        <v>49673000</v>
      </c>
      <c r="S14" s="7"/>
      <c r="T14" s="15">
        <v>50450000</v>
      </c>
      <c r="U14" s="15"/>
      <c r="V14" s="15">
        <f t="shared" ref="V14:V15" si="2">X14-T14</f>
        <v>0</v>
      </c>
      <c r="W14" s="15"/>
      <c r="X14" s="15">
        <v>50450000</v>
      </c>
    </row>
    <row r="15" spans="1:24" ht="15" x14ac:dyDescent="0.35">
      <c r="A15" s="7" t="s">
        <v>52</v>
      </c>
      <c r="B15" s="15">
        <v>15164000</v>
      </c>
      <c r="C15" s="15"/>
      <c r="D15" s="15">
        <v>-4515000</v>
      </c>
      <c r="E15" s="15"/>
      <c r="F15" s="15">
        <v>10649000</v>
      </c>
      <c r="G15" s="7"/>
      <c r="H15" s="15">
        <v>15174000</v>
      </c>
      <c r="I15" s="15"/>
      <c r="J15" s="15">
        <v>-4462000</v>
      </c>
      <c r="K15" s="15"/>
      <c r="L15" s="15">
        <v>10712000</v>
      </c>
      <c r="M15" s="7"/>
      <c r="N15" s="15">
        <v>14102000</v>
      </c>
      <c r="O15" s="15"/>
      <c r="P15" s="15">
        <v>-4391000</v>
      </c>
      <c r="Q15" s="15"/>
      <c r="R15" s="15">
        <v>9711000</v>
      </c>
      <c r="S15" s="7"/>
      <c r="T15" s="15">
        <v>15071000</v>
      </c>
      <c r="U15" s="15"/>
      <c r="V15" s="15">
        <f t="shared" si="2"/>
        <v>-4383000</v>
      </c>
      <c r="W15" s="15"/>
      <c r="X15" s="15">
        <v>10688000</v>
      </c>
    </row>
    <row r="16" spans="1:24" ht="15" x14ac:dyDescent="0.35">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65</v>
      </c>
      <c r="B17" s="15">
        <v>0</v>
      </c>
      <c r="C17" s="15"/>
      <c r="D17" s="15">
        <v>47654000</v>
      </c>
      <c r="E17" s="15"/>
      <c r="F17" s="15">
        <v>47654000</v>
      </c>
      <c r="G17" s="7"/>
      <c r="H17" s="15">
        <v>0</v>
      </c>
      <c r="I17" s="15"/>
      <c r="J17" s="15">
        <v>36553000</v>
      </c>
      <c r="K17" s="15"/>
      <c r="L17" s="15">
        <v>36553000</v>
      </c>
      <c r="M17" s="7"/>
      <c r="N17" s="15">
        <v>0</v>
      </c>
      <c r="O17" s="15"/>
      <c r="P17" s="15">
        <v>33752000</v>
      </c>
      <c r="Q17" s="15"/>
      <c r="R17" s="15">
        <v>33752000</v>
      </c>
      <c r="S17" s="7"/>
      <c r="T17" s="15">
        <v>0</v>
      </c>
      <c r="U17" s="15"/>
      <c r="V17" s="15">
        <f t="shared" ref="V17:V18" si="3">X17-T17</f>
        <v>29172000</v>
      </c>
      <c r="W17" s="15"/>
      <c r="X17" s="15">
        <v>29172000</v>
      </c>
    </row>
    <row r="18" spans="1:24" ht="15" x14ac:dyDescent="0.35">
      <c r="A18" s="7" t="s">
        <v>52</v>
      </c>
      <c r="B18" s="15">
        <v>0</v>
      </c>
      <c r="C18" s="15"/>
      <c r="D18" s="15">
        <v>3717000</v>
      </c>
      <c r="E18" s="15"/>
      <c r="F18" s="15">
        <v>3717000</v>
      </c>
      <c r="G18" s="7"/>
      <c r="H18" s="15">
        <v>0</v>
      </c>
      <c r="I18" s="15"/>
      <c r="J18" s="15">
        <v>2601000</v>
      </c>
      <c r="K18" s="15"/>
      <c r="L18" s="15">
        <v>2601000</v>
      </c>
      <c r="M18" s="7"/>
      <c r="N18" s="15">
        <v>0</v>
      </c>
      <c r="O18" s="15"/>
      <c r="P18" s="15">
        <v>2166000</v>
      </c>
      <c r="Q18" s="15"/>
      <c r="R18" s="15">
        <v>2166000</v>
      </c>
      <c r="S18" s="7"/>
      <c r="T18" s="15">
        <v>0</v>
      </c>
      <c r="U18" s="15"/>
      <c r="V18" s="15">
        <f t="shared" si="3"/>
        <v>3972000</v>
      </c>
      <c r="W18" s="15"/>
      <c r="X18" s="15">
        <v>3972000</v>
      </c>
    </row>
    <row r="19" spans="1:24" ht="15" x14ac:dyDescent="0.35">
      <c r="A19" s="7" t="s">
        <v>53</v>
      </c>
      <c r="B19" s="14">
        <v>68116000</v>
      </c>
      <c r="C19" s="15"/>
      <c r="D19" s="14">
        <v>46856000</v>
      </c>
      <c r="E19" s="15"/>
      <c r="F19" s="14">
        <v>114972000</v>
      </c>
      <c r="G19" s="7"/>
      <c r="H19" s="14">
        <v>65343000</v>
      </c>
      <c r="I19" s="15"/>
      <c r="J19" s="14">
        <v>34692000</v>
      </c>
      <c r="K19" s="15"/>
      <c r="L19" s="14">
        <v>100035000</v>
      </c>
      <c r="M19" s="7"/>
      <c r="N19" s="14">
        <v>63775000</v>
      </c>
      <c r="O19" s="15"/>
      <c r="P19" s="14">
        <v>31527000</v>
      </c>
      <c r="Q19" s="15"/>
      <c r="R19" s="14">
        <v>95302000</v>
      </c>
      <c r="S19" s="7"/>
      <c r="T19" s="14">
        <f>SUM(T14:T18)</f>
        <v>65521000</v>
      </c>
      <c r="U19" s="15"/>
      <c r="V19" s="14">
        <f>SUM(V14:V18)</f>
        <v>28761000</v>
      </c>
      <c r="W19" s="15"/>
      <c r="X19" s="14">
        <f>SUM(X14:X18)</f>
        <v>94282000</v>
      </c>
    </row>
    <row r="20" spans="1:24" ht="15" x14ac:dyDescent="0.35">
      <c r="A20" s="7"/>
      <c r="B20" s="24"/>
      <c r="C20" s="24"/>
      <c r="D20" s="15"/>
      <c r="E20" s="15"/>
      <c r="F20" s="15"/>
      <c r="G20" s="7"/>
      <c r="H20" s="24"/>
      <c r="I20" s="24"/>
      <c r="J20" s="15"/>
      <c r="K20" s="15"/>
      <c r="L20" s="15"/>
      <c r="M20" s="7"/>
      <c r="N20" s="24"/>
      <c r="O20" s="24"/>
      <c r="P20" s="15"/>
      <c r="Q20" s="15"/>
      <c r="R20" s="15"/>
      <c r="S20" s="7"/>
      <c r="T20" s="24"/>
      <c r="U20" s="24"/>
      <c r="V20" s="15"/>
      <c r="W20" s="15"/>
      <c r="X20" s="15"/>
    </row>
    <row r="21" spans="1:24" ht="15" x14ac:dyDescent="0.35">
      <c r="A21" s="7" t="s">
        <v>67</v>
      </c>
      <c r="B21" s="39">
        <v>3574000</v>
      </c>
      <c r="C21" s="24"/>
      <c r="D21" s="21">
        <v>-4319000</v>
      </c>
      <c r="E21" s="15"/>
      <c r="F21" s="21">
        <v>-745000</v>
      </c>
      <c r="G21" s="7"/>
      <c r="H21" s="39">
        <v>-373000</v>
      </c>
      <c r="I21" s="24"/>
      <c r="J21" s="21">
        <v>-4371000</v>
      </c>
      <c r="K21" s="15"/>
      <c r="L21" s="21">
        <v>-4744000</v>
      </c>
      <c r="M21" s="7"/>
      <c r="N21" s="39">
        <v>525000</v>
      </c>
      <c r="O21" s="24"/>
      <c r="P21" s="21">
        <v>-5939000</v>
      </c>
      <c r="Q21" s="15"/>
      <c r="R21" s="21">
        <v>-5414000</v>
      </c>
      <c r="S21" s="7"/>
      <c r="T21" s="15">
        <v>-8444000</v>
      </c>
      <c r="U21" s="24"/>
      <c r="V21" s="15">
        <f t="shared" ref="V21:V22" si="4">X21-T21</f>
        <v>-4145000</v>
      </c>
      <c r="W21" s="15"/>
      <c r="X21" s="21">
        <v>-12589000</v>
      </c>
    </row>
    <row r="22" spans="1:24" ht="15" x14ac:dyDescent="0.35">
      <c r="A22" s="7" t="s">
        <v>68</v>
      </c>
      <c r="B22" s="24">
        <v>0</v>
      </c>
      <c r="C22" s="24"/>
      <c r="D22" s="15">
        <v>87235000</v>
      </c>
      <c r="E22" s="15"/>
      <c r="F22" s="15">
        <v>87235000</v>
      </c>
      <c r="G22" s="7"/>
      <c r="H22" s="24">
        <v>0</v>
      </c>
      <c r="I22" s="24"/>
      <c r="J22" s="15">
        <v>99948000</v>
      </c>
      <c r="K22" s="15"/>
      <c r="L22" s="15">
        <v>99948000</v>
      </c>
      <c r="M22" s="7"/>
      <c r="N22" s="24">
        <v>0</v>
      </c>
      <c r="O22" s="24"/>
      <c r="P22" s="15">
        <v>68695000</v>
      </c>
      <c r="Q22" s="15"/>
      <c r="R22" s="15">
        <v>68695000</v>
      </c>
      <c r="S22" s="7"/>
      <c r="T22" s="24">
        <v>0</v>
      </c>
      <c r="U22" s="24"/>
      <c r="V22" s="15">
        <f t="shared" si="4"/>
        <v>23842000</v>
      </c>
      <c r="W22" s="15"/>
      <c r="X22" s="15">
        <v>23842000</v>
      </c>
    </row>
    <row r="23" spans="1:24" ht="15" x14ac:dyDescent="0.35">
      <c r="A23" s="7" t="s">
        <v>69</v>
      </c>
      <c r="B23" s="24">
        <v>3574000</v>
      </c>
      <c r="C23" s="24"/>
      <c r="D23" s="15">
        <v>82916000</v>
      </c>
      <c r="E23" s="15"/>
      <c r="F23" s="15">
        <v>86490000</v>
      </c>
      <c r="G23" s="7"/>
      <c r="H23" s="24">
        <v>-373000</v>
      </c>
      <c r="I23" s="24"/>
      <c r="J23" s="15">
        <v>95577000</v>
      </c>
      <c r="K23" s="15"/>
      <c r="L23" s="15">
        <v>95204000</v>
      </c>
      <c r="M23" s="7"/>
      <c r="N23" s="24">
        <v>525000</v>
      </c>
      <c r="O23" s="24"/>
      <c r="P23" s="15">
        <v>62756000</v>
      </c>
      <c r="Q23" s="15"/>
      <c r="R23" s="15">
        <v>63281000</v>
      </c>
      <c r="S23" s="7"/>
      <c r="T23" s="24">
        <f>SUM(T21:T22)</f>
        <v>-8444000</v>
      </c>
      <c r="U23" s="24"/>
      <c r="V23" s="24">
        <f>SUM(V21:V22)</f>
        <v>19697000</v>
      </c>
      <c r="W23" s="15"/>
      <c r="X23" s="24">
        <f>SUM(X21:X22)</f>
        <v>11253000</v>
      </c>
    </row>
    <row r="24" spans="1:24" ht="15.6" thickBot="1" x14ac:dyDescent="0.4">
      <c r="A24" s="7" t="s">
        <v>70</v>
      </c>
      <c r="B24" s="33">
        <v>71690000</v>
      </c>
      <c r="C24" s="24"/>
      <c r="D24" s="38">
        <v>129772000</v>
      </c>
      <c r="E24" s="15"/>
      <c r="F24" s="38">
        <v>201462000</v>
      </c>
      <c r="G24" s="7"/>
      <c r="H24" s="33">
        <v>64970000</v>
      </c>
      <c r="I24" s="24"/>
      <c r="J24" s="38">
        <v>130269000</v>
      </c>
      <c r="K24" s="15"/>
      <c r="L24" s="38">
        <v>195239000</v>
      </c>
      <c r="M24" s="7"/>
      <c r="N24" s="33">
        <v>64300000</v>
      </c>
      <c r="O24" s="24"/>
      <c r="P24" s="38">
        <v>94283000</v>
      </c>
      <c r="Q24" s="15"/>
      <c r="R24" s="38">
        <v>158583000</v>
      </c>
      <c r="S24" s="7"/>
      <c r="T24" s="33">
        <f>T19+T23</f>
        <v>57077000</v>
      </c>
      <c r="U24" s="24"/>
      <c r="V24" s="33">
        <f>V19+V23</f>
        <v>48458000</v>
      </c>
      <c r="W24" s="15"/>
      <c r="X24" s="33">
        <f>X19+X23</f>
        <v>105535000</v>
      </c>
    </row>
    <row r="25" spans="1:24" ht="15.6" thickTop="1" x14ac:dyDescent="0.35">
      <c r="A25" s="7"/>
      <c r="B25" s="7"/>
      <c r="C25" s="7"/>
      <c r="D25" s="7"/>
      <c r="E25" s="7"/>
      <c r="F25" s="7"/>
      <c r="G25" s="7"/>
      <c r="H25" s="7"/>
      <c r="I25" s="7"/>
      <c r="J25" s="7"/>
      <c r="K25" s="7"/>
      <c r="L25" s="7"/>
      <c r="M25" s="7"/>
      <c r="N25" s="7"/>
      <c r="O25" s="7"/>
      <c r="P25" s="7"/>
      <c r="Q25" s="7"/>
      <c r="R25" s="7"/>
      <c r="S25" s="7"/>
      <c r="T25" s="7"/>
      <c r="U25" s="7"/>
      <c r="V25" s="7"/>
      <c r="W25" s="7"/>
      <c r="X25" s="7"/>
    </row>
    <row r="26" spans="1:24" ht="15" x14ac:dyDescent="0.35">
      <c r="A26" s="7" t="s">
        <v>71</v>
      </c>
      <c r="B26" s="32">
        <f>+B19/B21</f>
        <v>19.058757694459988</v>
      </c>
      <c r="C26" s="7"/>
      <c r="D26" s="32">
        <f>+D19/D21</f>
        <v>-10.848807594350545</v>
      </c>
      <c r="E26" s="7"/>
      <c r="F26" s="32">
        <f>+F19/F21</f>
        <v>-154.32483221476511</v>
      </c>
      <c r="G26" s="7"/>
      <c r="H26" s="32">
        <f>+H19/H21</f>
        <v>-175.1823056300268</v>
      </c>
      <c r="I26" s="7"/>
      <c r="J26" s="32">
        <f>+J19/J21</f>
        <v>-7.9368565545641729</v>
      </c>
      <c r="K26" s="7"/>
      <c r="L26" s="32">
        <f>+L19/L21</f>
        <v>-21.086635750421586</v>
      </c>
      <c r="M26" s="7"/>
      <c r="N26" s="32">
        <f>+N19/N21</f>
        <v>121.47619047619048</v>
      </c>
      <c r="O26" s="7"/>
      <c r="P26" s="32">
        <f>+P19/P21</f>
        <v>-5.3084694392995457</v>
      </c>
      <c r="Q26" s="7"/>
      <c r="R26" s="32">
        <f>+R19/R21</f>
        <v>-17.602881418544513</v>
      </c>
      <c r="S26" s="7"/>
      <c r="T26" s="32">
        <f>+T19/T21</f>
        <v>-7.7594741828517293</v>
      </c>
      <c r="U26" s="7"/>
      <c r="V26" s="32">
        <f>+V19/V21</f>
        <v>-6.9387213510253316</v>
      </c>
      <c r="W26" s="7"/>
      <c r="X26" s="32">
        <f>+X19/X21</f>
        <v>-7.4892366351576776</v>
      </c>
    </row>
    <row r="27" spans="1:24" ht="15" x14ac:dyDescent="0.35">
      <c r="A27" s="7" t="s">
        <v>72</v>
      </c>
      <c r="B27" s="32">
        <f>+B19/B11</f>
        <v>0.95014646394197233</v>
      </c>
      <c r="C27" s="7"/>
      <c r="D27" s="32">
        <f>+D19/D11</f>
        <v>0.36106401997349197</v>
      </c>
      <c r="E27" s="7"/>
      <c r="F27" s="32">
        <f>+F19/F11</f>
        <v>0.57068826875539802</v>
      </c>
      <c r="G27" s="7"/>
      <c r="H27" s="32">
        <f>+H19/H11</f>
        <v>1.0057411112821302</v>
      </c>
      <c r="I27" s="7"/>
      <c r="J27" s="32">
        <f>+J19/J11</f>
        <v>0.26631048062086915</v>
      </c>
      <c r="K27" s="7"/>
      <c r="L27" s="32">
        <f>+L19/L11</f>
        <v>0.51237201583699976</v>
      </c>
      <c r="M27" s="7"/>
      <c r="N27" s="32">
        <f>+N19/N11</f>
        <v>0.99183514774494552</v>
      </c>
      <c r="O27" s="7"/>
      <c r="P27" s="32">
        <f>+P19/P11</f>
        <v>0.33438689901678986</v>
      </c>
      <c r="Q27" s="7"/>
      <c r="R27" s="32">
        <f>+R19/R11</f>
        <v>0.60095974978402478</v>
      </c>
      <c r="S27" s="7"/>
      <c r="T27" s="32">
        <f>+T19/T11</f>
        <v>1.1479405014278956</v>
      </c>
      <c r="U27" s="7"/>
      <c r="V27" s="32">
        <f>+V19/V11</f>
        <v>0.59352428907507537</v>
      </c>
      <c r="W27" s="7"/>
      <c r="X27" s="32">
        <f>+X19/X11</f>
        <v>0.89337186715307715</v>
      </c>
    </row>
  </sheetData>
  <mergeCells count="4">
    <mergeCell ref="B1:F1"/>
    <mergeCell ref="H1:L1"/>
    <mergeCell ref="T1:X1"/>
    <mergeCell ref="N1:R1"/>
  </mergeCells>
  <conditionalFormatting sqref="A4:X11">
    <cfRule type="expression" dxfId="13" priority="3">
      <formula>MOD(ROW(),2)=0</formula>
    </cfRule>
  </conditionalFormatting>
  <conditionalFormatting sqref="A14:X19">
    <cfRule type="expression" dxfId="12" priority="2">
      <formula>MOD(ROW(),2)=0</formula>
    </cfRule>
  </conditionalFormatting>
  <conditionalFormatting sqref="A21:X24 A26:X27">
    <cfRule type="expression" dxfId="11" priority="4">
      <formula>MOD(ROW(),2)=0</formula>
    </cfRule>
  </conditionalFormatting>
  <pageMargins left="0.7" right="0.7" top="0.75" bottom="0.75" header="0.3" footer="0.3"/>
  <pageSetup scale="53"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5BE5-5EA6-42CA-8DF2-34365FFF2B83}">
  <sheetPr>
    <tabColor rgb="FF2C6B73"/>
    <pageSetUpPr fitToPage="1"/>
  </sheetPr>
  <dimension ref="A1:X28"/>
  <sheetViews>
    <sheetView showGridLines="0" view="pageBreakPreview" zoomScaleNormal="100" zoomScaleSheetLayoutView="100" workbookViewId="0">
      <pane xSplit="1" ySplit="2" topLeftCell="E3" activePane="bottomRight" state="frozen"/>
      <selection pane="topRight" activeCell="B1" sqref="B1"/>
      <selection pane="bottomLeft" activeCell="A3" sqref="A3"/>
      <selection pane="bottomRight" activeCell="P5" sqref="P5:P11"/>
    </sheetView>
  </sheetViews>
  <sheetFormatPr defaultColWidth="10.88671875" defaultRowHeight="14.4" x14ac:dyDescent="0.3"/>
  <cols>
    <col min="1" max="1" width="50" customWidth="1"/>
    <col min="2" max="2" width="13.109375" customWidth="1"/>
    <col min="3" max="3" width="2.33203125" customWidth="1"/>
    <col min="4" max="4" width="13.109375" customWidth="1"/>
    <col min="5" max="5" width="2.33203125" customWidth="1"/>
    <col min="6" max="6" width="13.109375" customWidth="1"/>
    <col min="7" max="7" width="2.33203125" customWidth="1"/>
    <col min="8" max="8" width="13.109375" customWidth="1"/>
    <col min="9" max="9" width="2.33203125" customWidth="1"/>
    <col min="10" max="10" width="13.109375" customWidth="1"/>
    <col min="11" max="11" width="2.33203125" customWidth="1"/>
    <col min="12" max="12" width="13.109375" customWidth="1"/>
    <col min="13" max="13" width="2.33203125" customWidth="1"/>
    <col min="14" max="14" width="13.109375" customWidth="1"/>
    <col min="15" max="15" width="2.33203125" customWidth="1"/>
    <col min="16" max="16" width="13.109375" customWidth="1"/>
    <col min="17" max="17" width="2.33203125" customWidth="1"/>
    <col min="18" max="18" width="13.109375" customWidth="1"/>
    <col min="19" max="19" width="2.33203125" customWidth="1"/>
    <col min="20" max="20" width="13.109375" customWidth="1"/>
    <col min="21" max="21" width="2.33203125" customWidth="1"/>
    <col min="22" max="22" width="13.109375" customWidth="1"/>
    <col min="23" max="23" width="2.33203125" customWidth="1"/>
    <col min="24" max="24" width="13.109375" customWidth="1"/>
  </cols>
  <sheetData>
    <row r="1" spans="1:24" ht="15" x14ac:dyDescent="0.35">
      <c r="A1" s="60"/>
      <c r="B1" s="75">
        <v>45747</v>
      </c>
      <c r="C1" s="75"/>
      <c r="D1" s="75"/>
      <c r="E1" s="75"/>
      <c r="F1" s="75"/>
      <c r="G1" s="60"/>
      <c r="H1" s="75">
        <v>45838</v>
      </c>
      <c r="I1" s="75"/>
      <c r="J1" s="75"/>
      <c r="K1" s="75"/>
      <c r="L1" s="75"/>
      <c r="M1" s="60"/>
      <c r="N1" s="75">
        <v>45930</v>
      </c>
      <c r="O1" s="75"/>
      <c r="P1" s="75"/>
      <c r="Q1" s="75"/>
      <c r="R1" s="75"/>
      <c r="S1" s="60"/>
      <c r="T1" s="75">
        <v>46022</v>
      </c>
      <c r="U1" s="75"/>
      <c r="V1" s="75"/>
      <c r="W1" s="75"/>
      <c r="X1" s="75"/>
    </row>
    <row r="2" spans="1:24" ht="45" x14ac:dyDescent="0.35">
      <c r="A2" s="60"/>
      <c r="B2" s="61" t="s">
        <v>59</v>
      </c>
      <c r="C2" s="62"/>
      <c r="D2" s="63" t="s">
        <v>60</v>
      </c>
      <c r="E2" s="62"/>
      <c r="F2" s="61" t="s">
        <v>61</v>
      </c>
      <c r="G2" s="60"/>
      <c r="H2" s="61" t="s">
        <v>59</v>
      </c>
      <c r="I2" s="62"/>
      <c r="J2" s="63" t="s">
        <v>60</v>
      </c>
      <c r="K2" s="62"/>
      <c r="L2" s="61" t="s">
        <v>61</v>
      </c>
      <c r="M2" s="60"/>
      <c r="N2" s="61" t="s">
        <v>59</v>
      </c>
      <c r="O2" s="62"/>
      <c r="P2" s="63" t="s">
        <v>60</v>
      </c>
      <c r="Q2" s="62"/>
      <c r="R2" s="61" t="s">
        <v>61</v>
      </c>
      <c r="S2" s="60"/>
      <c r="T2" s="61" t="s">
        <v>59</v>
      </c>
      <c r="U2" s="62"/>
      <c r="V2" s="63" t="s">
        <v>60</v>
      </c>
      <c r="W2" s="62"/>
      <c r="X2" s="61" t="s">
        <v>61</v>
      </c>
    </row>
    <row r="3" spans="1:24" ht="15" x14ac:dyDescent="0.35">
      <c r="A3" s="60" t="s">
        <v>45</v>
      </c>
      <c r="B3" s="60"/>
      <c r="C3" s="60"/>
      <c r="D3" s="60"/>
      <c r="E3" s="60"/>
      <c r="F3" s="60"/>
      <c r="G3" s="60"/>
      <c r="H3" s="60"/>
      <c r="I3" s="60"/>
      <c r="J3" s="60"/>
      <c r="K3" s="60"/>
      <c r="L3" s="60"/>
      <c r="M3" s="60"/>
      <c r="N3" s="60"/>
      <c r="O3" s="60"/>
      <c r="P3" s="60"/>
      <c r="Q3" s="60"/>
      <c r="R3" s="60"/>
      <c r="S3" s="60"/>
      <c r="T3" s="60"/>
      <c r="U3" s="60"/>
      <c r="V3" s="60"/>
      <c r="W3" s="60"/>
      <c r="X3" s="60"/>
    </row>
    <row r="4" spans="1:24" ht="15" x14ac:dyDescent="0.35">
      <c r="A4" s="60" t="s">
        <v>46</v>
      </c>
      <c r="B4" s="58">
        <v>3363000</v>
      </c>
      <c r="C4" s="58"/>
      <c r="D4" s="58">
        <f>F4-B4</f>
        <v>0</v>
      </c>
      <c r="E4" s="58"/>
      <c r="F4" s="58">
        <v>3363000</v>
      </c>
      <c r="G4" s="60"/>
      <c r="H4" s="58">
        <f>586000+2559000</f>
        <v>3145000</v>
      </c>
      <c r="I4" s="58"/>
      <c r="J4" s="58">
        <f>L4-H4</f>
        <v>0</v>
      </c>
      <c r="K4" s="58"/>
      <c r="L4" s="58">
        <f>586000+2559000</f>
        <v>3145000</v>
      </c>
      <c r="M4" s="60"/>
      <c r="N4" s="58">
        <f>10886000+2252000</f>
        <v>13138000</v>
      </c>
      <c r="O4" s="58"/>
      <c r="P4" s="58">
        <f>R4-N4</f>
        <v>0</v>
      </c>
      <c r="Q4" s="58"/>
      <c r="R4" s="58">
        <f>10886000+2252000</f>
        <v>13138000</v>
      </c>
      <c r="S4" s="60"/>
      <c r="T4" s="58"/>
      <c r="U4" s="58"/>
      <c r="V4" s="58"/>
      <c r="W4" s="58"/>
      <c r="X4" s="58"/>
    </row>
    <row r="5" spans="1:24" ht="15" x14ac:dyDescent="0.35">
      <c r="A5" s="60" t="s">
        <v>47</v>
      </c>
      <c r="B5" s="58">
        <v>21776000</v>
      </c>
      <c r="C5" s="58"/>
      <c r="D5" s="58">
        <f>F5-B5</f>
        <v>-262000</v>
      </c>
      <c r="E5" s="58"/>
      <c r="F5" s="58">
        <v>21514000</v>
      </c>
      <c r="G5" s="60"/>
      <c r="H5" s="58">
        <v>21978000</v>
      </c>
      <c r="I5" s="58"/>
      <c r="J5" s="58">
        <f>L5-H5</f>
        <v>-264000</v>
      </c>
      <c r="K5" s="58"/>
      <c r="L5" s="58">
        <v>21714000</v>
      </c>
      <c r="M5" s="60"/>
      <c r="N5" s="58">
        <v>22050000</v>
      </c>
      <c r="O5" s="58"/>
      <c r="P5" s="58">
        <f>R5-N5</f>
        <v>-261000</v>
      </c>
      <c r="Q5" s="58"/>
      <c r="R5" s="58">
        <f>21789000</f>
        <v>21789000</v>
      </c>
      <c r="S5" s="60"/>
      <c r="T5" s="58"/>
      <c r="U5" s="58"/>
      <c r="V5" s="58"/>
      <c r="W5" s="58"/>
      <c r="X5" s="58"/>
    </row>
    <row r="6" spans="1:24" ht="15" x14ac:dyDescent="0.35">
      <c r="A6" s="7" t="s">
        <v>154</v>
      </c>
      <c r="B6" s="58">
        <v>0</v>
      </c>
      <c r="C6" s="58"/>
      <c r="D6" s="58">
        <f>F6-B6</f>
        <v>0</v>
      </c>
      <c r="E6" s="58"/>
      <c r="F6" s="58">
        <v>0</v>
      </c>
      <c r="G6" s="60"/>
      <c r="H6" s="58">
        <v>0</v>
      </c>
      <c r="I6" s="58"/>
      <c r="J6" s="58">
        <f>L6-H6</f>
        <v>0</v>
      </c>
      <c r="K6" s="58"/>
      <c r="L6" s="58">
        <v>0</v>
      </c>
      <c r="M6" s="60"/>
      <c r="N6" s="58">
        <v>9965000</v>
      </c>
      <c r="O6" s="58"/>
      <c r="P6" s="58">
        <f>R6-N6</f>
        <v>0</v>
      </c>
      <c r="Q6" s="58"/>
      <c r="R6" s="58">
        <v>9965000</v>
      </c>
      <c r="S6" s="60"/>
      <c r="T6" s="58"/>
      <c r="U6" s="58"/>
      <c r="V6" s="58"/>
      <c r="W6" s="58"/>
      <c r="X6" s="58"/>
    </row>
    <row r="7" spans="1:24" ht="15" x14ac:dyDescent="0.35">
      <c r="A7" s="60" t="s">
        <v>48</v>
      </c>
      <c r="B7" s="58">
        <v>30586000</v>
      </c>
      <c r="C7" s="58"/>
      <c r="D7" s="58">
        <f>F7-B7</f>
        <v>-4513000</v>
      </c>
      <c r="E7" s="58"/>
      <c r="F7" s="58">
        <v>26073000</v>
      </c>
      <c r="G7" s="60"/>
      <c r="H7" s="58">
        <f>53479000-H5-H4-H6</f>
        <v>28356000</v>
      </c>
      <c r="I7" s="58"/>
      <c r="J7" s="58">
        <f>L7-H7</f>
        <v>-4130000</v>
      </c>
      <c r="K7" s="58"/>
      <c r="L7" s="58">
        <f>431000+7200000+13764000+123000+2708000</f>
        <v>24226000</v>
      </c>
      <c r="M7" s="60"/>
      <c r="N7" s="58">
        <f>75100000-N4-N5-N6</f>
        <v>29947000</v>
      </c>
      <c r="O7" s="58"/>
      <c r="P7" s="58">
        <f>R7-N7</f>
        <v>-3969000</v>
      </c>
      <c r="Q7" s="58"/>
      <c r="R7" s="58">
        <f>2605000+8725000+11923000+110000+2615000</f>
        <v>25978000</v>
      </c>
      <c r="S7" s="60"/>
      <c r="T7" s="58"/>
      <c r="U7" s="58"/>
      <c r="V7" s="58"/>
      <c r="W7" s="58"/>
      <c r="X7" s="58"/>
    </row>
    <row r="8" spans="1:24" ht="15" x14ac:dyDescent="0.35">
      <c r="A8" s="60" t="s">
        <v>62</v>
      </c>
      <c r="B8" s="58"/>
      <c r="C8" s="58"/>
      <c r="D8" s="58"/>
      <c r="E8" s="58"/>
      <c r="F8" s="58"/>
      <c r="G8" s="60"/>
      <c r="H8" s="58"/>
      <c r="I8" s="58"/>
      <c r="J8" s="58"/>
      <c r="K8" s="58"/>
      <c r="L8" s="58"/>
      <c r="M8" s="60"/>
      <c r="N8" s="58"/>
      <c r="O8" s="58"/>
      <c r="P8" s="58"/>
      <c r="Q8" s="58"/>
      <c r="R8" s="58"/>
      <c r="S8" s="60"/>
      <c r="T8" s="58"/>
      <c r="U8" s="58"/>
      <c r="V8" s="58"/>
      <c r="W8" s="58"/>
      <c r="X8" s="58"/>
    </row>
    <row r="9" spans="1:24" ht="15" x14ac:dyDescent="0.35">
      <c r="A9" s="60" t="s">
        <v>46</v>
      </c>
      <c r="B9" s="58">
        <v>0</v>
      </c>
      <c r="C9" s="58"/>
      <c r="D9" s="58">
        <f>F9-B9</f>
        <v>997000</v>
      </c>
      <c r="E9" s="58"/>
      <c r="F9" s="58">
        <v>997000</v>
      </c>
      <c r="G9" s="60"/>
      <c r="H9" s="58">
        <v>0</v>
      </c>
      <c r="I9" s="58"/>
      <c r="J9" s="58">
        <f>L9-H9</f>
        <v>306000</v>
      </c>
      <c r="K9" s="58"/>
      <c r="L9" s="58">
        <f>97000+209000</f>
        <v>306000</v>
      </c>
      <c r="M9" s="60"/>
      <c r="N9" s="58">
        <v>0</v>
      </c>
      <c r="O9" s="58"/>
      <c r="P9" s="58">
        <f>R9-N9</f>
        <v>250000</v>
      </c>
      <c r="Q9" s="58"/>
      <c r="R9" s="58">
        <f>41000+209000</f>
        <v>250000</v>
      </c>
      <c r="S9" s="60"/>
      <c r="T9" s="58"/>
      <c r="U9" s="58"/>
      <c r="V9" s="58"/>
      <c r="W9" s="58"/>
      <c r="X9" s="58"/>
    </row>
    <row r="10" spans="1:24" ht="15" x14ac:dyDescent="0.35">
      <c r="A10" s="60" t="s">
        <v>47</v>
      </c>
      <c r="B10" s="58">
        <v>0</v>
      </c>
      <c r="C10" s="58"/>
      <c r="D10" s="58">
        <f>F10-B10</f>
        <v>44102000</v>
      </c>
      <c r="E10" s="58"/>
      <c r="F10" s="58">
        <v>44102000</v>
      </c>
      <c r="G10" s="60"/>
      <c r="H10" s="58">
        <v>0</v>
      </c>
      <c r="I10" s="58"/>
      <c r="J10" s="58">
        <f>L10-H10</f>
        <v>10397000</v>
      </c>
      <c r="K10" s="58"/>
      <c r="L10" s="58">
        <v>10397000</v>
      </c>
      <c r="M10" s="60"/>
      <c r="N10" s="58">
        <v>0</v>
      </c>
      <c r="O10" s="58"/>
      <c r="P10" s="58">
        <f>R10-N10</f>
        <v>10296000</v>
      </c>
      <c r="Q10" s="58"/>
      <c r="R10" s="58">
        <f>10296000</f>
        <v>10296000</v>
      </c>
      <c r="S10" s="60"/>
      <c r="T10" s="58"/>
      <c r="U10" s="58"/>
      <c r="V10" s="58"/>
      <c r="W10" s="58"/>
      <c r="X10" s="58"/>
    </row>
    <row r="11" spans="1:24" ht="15" x14ac:dyDescent="0.35">
      <c r="A11" s="60" t="s">
        <v>48</v>
      </c>
      <c r="B11" s="58">
        <v>0</v>
      </c>
      <c r="C11" s="58"/>
      <c r="D11" s="58">
        <f>F11-B11</f>
        <v>7594000</v>
      </c>
      <c r="E11" s="58"/>
      <c r="F11" s="58">
        <v>7594000</v>
      </c>
      <c r="G11" s="60"/>
      <c r="H11" s="58">
        <v>0</v>
      </c>
      <c r="I11" s="58"/>
      <c r="J11" s="58">
        <f>L11-H11</f>
        <v>1179000</v>
      </c>
      <c r="K11" s="58"/>
      <c r="L11" s="58">
        <f>994000+157000+28000</f>
        <v>1179000</v>
      </c>
      <c r="M11" s="60"/>
      <c r="N11" s="58">
        <v>0</v>
      </c>
      <c r="O11" s="58"/>
      <c r="P11" s="58">
        <f>R11-N11</f>
        <v>1152000</v>
      </c>
      <c r="Q11" s="58"/>
      <c r="R11" s="58">
        <f>946000+186000+20000</f>
        <v>1152000</v>
      </c>
      <c r="S11" s="60"/>
      <c r="T11" s="58"/>
      <c r="U11" s="58"/>
      <c r="V11" s="58"/>
      <c r="W11" s="58"/>
      <c r="X11" s="58"/>
    </row>
    <row r="12" spans="1:24" ht="15.6" thickBot="1" x14ac:dyDescent="0.4">
      <c r="A12" s="60" t="s">
        <v>49</v>
      </c>
      <c r="B12" s="59">
        <f>SUM(B4:B11)</f>
        <v>55725000</v>
      </c>
      <c r="C12" s="58"/>
      <c r="D12" s="59">
        <f>SUM(D4:D11)</f>
        <v>47918000</v>
      </c>
      <c r="E12" s="58"/>
      <c r="F12" s="59">
        <f>SUM(F4:F11)</f>
        <v>103643000</v>
      </c>
      <c r="G12" s="60"/>
      <c r="H12" s="59">
        <f>SUM(H4:H11)</f>
        <v>53479000</v>
      </c>
      <c r="I12" s="58"/>
      <c r="J12" s="59">
        <f>SUM(J4:J11)</f>
        <v>7488000</v>
      </c>
      <c r="K12" s="58"/>
      <c r="L12" s="59">
        <f>SUM(L4:L11)</f>
        <v>60967000</v>
      </c>
      <c r="M12" s="60"/>
      <c r="N12" s="59">
        <f>SUM(N4:N11)</f>
        <v>75100000</v>
      </c>
      <c r="O12" s="58"/>
      <c r="P12" s="59">
        <f>SUM(P4:P11)</f>
        <v>7468000</v>
      </c>
      <c r="Q12" s="58"/>
      <c r="R12" s="59">
        <f>SUM(R4:R11)</f>
        <v>82568000</v>
      </c>
      <c r="S12" s="60"/>
      <c r="T12" s="59">
        <f>SUM(T4:T11)</f>
        <v>0</v>
      </c>
      <c r="U12" s="58"/>
      <c r="V12" s="59">
        <f>SUM(V4:V11)</f>
        <v>0</v>
      </c>
      <c r="W12" s="58"/>
      <c r="X12" s="59">
        <f>SUM(X4:X11)</f>
        <v>0</v>
      </c>
    </row>
    <row r="13" spans="1:24" ht="15.6" thickTop="1" x14ac:dyDescent="0.35">
      <c r="A13" s="60"/>
      <c r="B13" s="58"/>
      <c r="C13" s="58"/>
      <c r="D13" s="58"/>
      <c r="E13" s="58"/>
      <c r="F13" s="58"/>
      <c r="G13" s="60"/>
      <c r="H13" s="58"/>
      <c r="I13" s="58"/>
      <c r="J13" s="58"/>
      <c r="K13" s="58"/>
      <c r="L13" s="58"/>
      <c r="M13" s="60"/>
      <c r="N13" s="58"/>
      <c r="O13" s="58"/>
      <c r="P13" s="58"/>
      <c r="Q13" s="58"/>
      <c r="R13" s="58"/>
      <c r="S13" s="60"/>
      <c r="T13" s="58"/>
      <c r="U13" s="58"/>
      <c r="V13" s="58"/>
      <c r="W13" s="58"/>
      <c r="X13" s="58"/>
    </row>
    <row r="14" spans="1:24" ht="15" x14ac:dyDescent="0.35">
      <c r="A14" s="60" t="s">
        <v>63</v>
      </c>
      <c r="B14" s="70"/>
      <c r="C14" s="70"/>
      <c r="D14" s="70"/>
      <c r="E14" s="70"/>
      <c r="F14" s="70"/>
      <c r="G14" s="60"/>
      <c r="H14" s="70"/>
      <c r="I14" s="70"/>
      <c r="J14" s="70"/>
      <c r="K14" s="70"/>
      <c r="L14" s="70"/>
      <c r="M14" s="60"/>
      <c r="N14" s="70"/>
      <c r="O14" s="70"/>
      <c r="P14" s="70"/>
      <c r="Q14" s="70"/>
      <c r="R14" s="70"/>
      <c r="S14" s="60"/>
      <c r="T14" s="70"/>
      <c r="U14" s="70"/>
      <c r="V14" s="70"/>
      <c r="W14" s="70"/>
      <c r="X14" s="70"/>
    </row>
    <row r="15" spans="1:24" ht="15" x14ac:dyDescent="0.35">
      <c r="A15" s="60" t="s">
        <v>51</v>
      </c>
      <c r="B15" s="58">
        <v>51555000</v>
      </c>
      <c r="C15" s="58"/>
      <c r="D15" s="58">
        <f>F15-B15</f>
        <v>0</v>
      </c>
      <c r="E15" s="58"/>
      <c r="F15" s="58">
        <v>51555000</v>
      </c>
      <c r="G15" s="60"/>
      <c r="H15" s="58">
        <v>50442000</v>
      </c>
      <c r="I15" s="58"/>
      <c r="J15" s="58">
        <f>L15-H15</f>
        <v>76000</v>
      </c>
      <c r="K15" s="58"/>
      <c r="L15" s="58">
        <v>50518000</v>
      </c>
      <c r="M15" s="60"/>
      <c r="N15" s="58">
        <v>48678000</v>
      </c>
      <c r="O15" s="58"/>
      <c r="P15" s="58">
        <f>R15-N15</f>
        <v>0</v>
      </c>
      <c r="Q15" s="58"/>
      <c r="R15" s="58">
        <f>48678000</f>
        <v>48678000</v>
      </c>
      <c r="S15" s="60"/>
      <c r="T15" s="58"/>
      <c r="U15" s="58"/>
      <c r="V15" s="58"/>
      <c r="W15" s="58"/>
      <c r="X15" s="58"/>
    </row>
    <row r="16" spans="1:24" ht="15" x14ac:dyDescent="0.35">
      <c r="A16" s="60" t="s">
        <v>52</v>
      </c>
      <c r="B16" s="58">
        <v>15534000</v>
      </c>
      <c r="C16" s="58"/>
      <c r="D16" s="58">
        <f>F16-B16</f>
        <v>-4267000</v>
      </c>
      <c r="E16" s="58"/>
      <c r="F16" s="58">
        <v>11267000</v>
      </c>
      <c r="G16" s="60"/>
      <c r="H16" s="58">
        <f>66820000-H15</f>
        <v>16378000</v>
      </c>
      <c r="I16" s="58"/>
      <c r="J16" s="58">
        <f>L16-H16</f>
        <v>-4276000</v>
      </c>
      <c r="K16" s="58"/>
      <c r="L16" s="58">
        <f>9652000+843000+479000+79000+1049000</f>
        <v>12102000</v>
      </c>
      <c r="M16" s="60"/>
      <c r="N16" s="58">
        <f>66192000-N15</f>
        <v>17514000</v>
      </c>
      <c r="O16" s="58"/>
      <c r="P16" s="58">
        <f>R16-N16</f>
        <v>-4125000</v>
      </c>
      <c r="Q16" s="58"/>
      <c r="R16" s="58">
        <f>9068000+3200000+127000+71000+923000</f>
        <v>13389000</v>
      </c>
      <c r="S16" s="60"/>
      <c r="T16" s="58"/>
      <c r="U16" s="58"/>
      <c r="V16" s="58"/>
      <c r="W16" s="58"/>
      <c r="X16" s="58"/>
    </row>
    <row r="17" spans="1:24" ht="15" x14ac:dyDescent="0.35">
      <c r="A17" s="60" t="s">
        <v>64</v>
      </c>
      <c r="B17" s="58"/>
      <c r="C17" s="58"/>
      <c r="D17" s="58"/>
      <c r="E17" s="58"/>
      <c r="F17" s="58"/>
      <c r="G17" s="60"/>
      <c r="H17" s="58"/>
      <c r="I17" s="58"/>
      <c r="J17" s="58"/>
      <c r="K17" s="58"/>
      <c r="L17" s="58"/>
      <c r="M17" s="60"/>
      <c r="N17" s="58"/>
      <c r="O17" s="58"/>
      <c r="P17" s="58"/>
      <c r="Q17" s="58"/>
      <c r="R17" s="58"/>
      <c r="S17" s="60"/>
      <c r="T17" s="58"/>
      <c r="U17" s="58"/>
      <c r="V17" s="58"/>
      <c r="W17" s="58"/>
      <c r="X17" s="58"/>
    </row>
    <row r="18" spans="1:24" ht="15" x14ac:dyDescent="0.35">
      <c r="A18" s="60" t="s">
        <v>65</v>
      </c>
      <c r="B18" s="58">
        <v>0</v>
      </c>
      <c r="C18" s="58"/>
      <c r="D18" s="58">
        <f>F18-B18</f>
        <v>31558000</v>
      </c>
      <c r="E18" s="58"/>
      <c r="F18" s="58">
        <v>31558000</v>
      </c>
      <c r="G18" s="60"/>
      <c r="H18" s="58"/>
      <c r="I18" s="58"/>
      <c r="J18" s="58">
        <f>L18-H18</f>
        <v>11631000</v>
      </c>
      <c r="K18" s="58"/>
      <c r="L18" s="58">
        <v>11631000</v>
      </c>
      <c r="M18" s="60"/>
      <c r="N18" s="58">
        <v>0</v>
      </c>
      <c r="O18" s="58"/>
      <c r="P18" s="58">
        <f>R18-N18</f>
        <v>11611000</v>
      </c>
      <c r="Q18" s="58"/>
      <c r="R18" s="58">
        <f>11611000</f>
        <v>11611000</v>
      </c>
      <c r="S18" s="60"/>
      <c r="T18" s="58"/>
      <c r="U18" s="58"/>
      <c r="V18" s="58"/>
      <c r="W18" s="58"/>
      <c r="X18" s="58"/>
    </row>
    <row r="19" spans="1:24" ht="15" x14ac:dyDescent="0.35">
      <c r="A19" s="60" t="s">
        <v>52</v>
      </c>
      <c r="B19" s="58">
        <v>0</v>
      </c>
      <c r="C19" s="58"/>
      <c r="D19" s="58">
        <f>F19-B19</f>
        <v>1905000</v>
      </c>
      <c r="E19" s="58"/>
      <c r="F19" s="58">
        <v>1905000</v>
      </c>
      <c r="G19" s="60"/>
      <c r="H19" s="58"/>
      <c r="I19" s="58"/>
      <c r="J19" s="58">
        <f>L19-H19</f>
        <v>2613000</v>
      </c>
      <c r="K19" s="58"/>
      <c r="L19" s="58">
        <f>2183000+375000+1000+54000</f>
        <v>2613000</v>
      </c>
      <c r="M19" s="60"/>
      <c r="N19" s="58">
        <v>0</v>
      </c>
      <c r="O19" s="58"/>
      <c r="P19" s="58">
        <f>R19-N19</f>
        <v>2803000</v>
      </c>
      <c r="Q19" s="58"/>
      <c r="R19" s="58">
        <f>2255000+495000+1000+52000</f>
        <v>2803000</v>
      </c>
      <c r="S19" s="60"/>
      <c r="T19" s="58"/>
      <c r="U19" s="58"/>
      <c r="V19" s="58"/>
      <c r="W19" s="58"/>
      <c r="X19" s="58"/>
    </row>
    <row r="20" spans="1:24" ht="15" x14ac:dyDescent="0.35">
      <c r="A20" s="60" t="s">
        <v>53</v>
      </c>
      <c r="B20" s="64">
        <f>SUM(B15:B19)</f>
        <v>67089000</v>
      </c>
      <c r="C20" s="58"/>
      <c r="D20" s="64">
        <f>SUM(D15:D19)</f>
        <v>29196000</v>
      </c>
      <c r="E20" s="58"/>
      <c r="F20" s="64">
        <f>SUM(F15:F19)</f>
        <v>96285000</v>
      </c>
      <c r="G20" s="60"/>
      <c r="H20" s="64">
        <f>SUM(H15:H19)</f>
        <v>66820000</v>
      </c>
      <c r="I20" s="58"/>
      <c r="J20" s="64">
        <f>SUM(J15:J19)</f>
        <v>10044000</v>
      </c>
      <c r="K20" s="58"/>
      <c r="L20" s="64">
        <f>SUM(L15:L19)</f>
        <v>76864000</v>
      </c>
      <c r="M20" s="60"/>
      <c r="N20" s="64">
        <f>SUM(N15:N19)</f>
        <v>66192000</v>
      </c>
      <c r="O20" s="58"/>
      <c r="P20" s="64">
        <f>SUM(P15:P19)</f>
        <v>10289000</v>
      </c>
      <c r="Q20" s="58"/>
      <c r="R20" s="64">
        <f>SUM(R15:R19)</f>
        <v>76481000</v>
      </c>
      <c r="S20" s="60"/>
      <c r="T20" s="64">
        <f>SUM(T15:T19)</f>
        <v>0</v>
      </c>
      <c r="U20" s="58"/>
      <c r="V20" s="64">
        <f>SUM(V15:V19)</f>
        <v>0</v>
      </c>
      <c r="W20" s="58"/>
      <c r="X20" s="64">
        <f>SUM(X15:X19)</f>
        <v>0</v>
      </c>
    </row>
    <row r="21" spans="1:24" ht="15" x14ac:dyDescent="0.35">
      <c r="A21" s="60"/>
      <c r="B21" s="58"/>
      <c r="C21" s="58"/>
      <c r="D21" s="58"/>
      <c r="E21" s="58"/>
      <c r="F21" s="58"/>
      <c r="G21" s="60"/>
      <c r="H21" s="58"/>
      <c r="I21" s="58"/>
      <c r="J21" s="58"/>
      <c r="K21" s="58"/>
      <c r="L21" s="58"/>
      <c r="M21" s="60"/>
      <c r="N21" s="58"/>
      <c r="O21" s="58"/>
      <c r="P21" s="58"/>
      <c r="Q21" s="58"/>
      <c r="R21" s="58"/>
      <c r="S21" s="60"/>
      <c r="T21" s="58"/>
      <c r="U21" s="58"/>
      <c r="V21" s="58"/>
      <c r="W21" s="58"/>
      <c r="X21" s="58"/>
    </row>
    <row r="22" spans="1:24" ht="15" x14ac:dyDescent="0.35">
      <c r="A22" s="60" t="s">
        <v>67</v>
      </c>
      <c r="B22" s="58">
        <v>-11364000</v>
      </c>
      <c r="C22" s="58"/>
      <c r="D22" s="58">
        <f>F22-B22</f>
        <v>27172000</v>
      </c>
      <c r="E22" s="58"/>
      <c r="F22" s="58">
        <v>15808000</v>
      </c>
      <c r="G22" s="60"/>
      <c r="H22" s="58">
        <v>-13341000</v>
      </c>
      <c r="I22" s="58"/>
      <c r="J22" s="58">
        <f>L22-H22</f>
        <v>-4802000</v>
      </c>
      <c r="K22" s="58"/>
      <c r="L22" s="58">
        <v>-18143000</v>
      </c>
      <c r="M22" s="60"/>
      <c r="N22" s="58">
        <v>8908000</v>
      </c>
      <c r="O22" s="58"/>
      <c r="P22" s="58">
        <f>R22-N22</f>
        <v>-4725000</v>
      </c>
      <c r="Q22" s="58"/>
      <c r="R22" s="58">
        <v>4183000</v>
      </c>
      <c r="S22" s="60"/>
      <c r="T22" s="58"/>
      <c r="U22" s="58"/>
      <c r="V22" s="58"/>
      <c r="W22" s="58"/>
      <c r="X22" s="58"/>
    </row>
    <row r="23" spans="1:24" ht="15" x14ac:dyDescent="0.35">
      <c r="A23" s="60" t="s">
        <v>68</v>
      </c>
      <c r="B23" s="58">
        <v>0</v>
      </c>
      <c r="C23" s="58"/>
      <c r="D23" s="58">
        <f>F23-B23</f>
        <v>23166000</v>
      </c>
      <c r="E23" s="58"/>
      <c r="F23" s="58">
        <v>23166000</v>
      </c>
      <c r="G23" s="60"/>
      <c r="H23" s="58"/>
      <c r="I23" s="58"/>
      <c r="J23" s="58">
        <f>L23-H23</f>
        <v>2246000</v>
      </c>
      <c r="K23" s="58"/>
      <c r="L23" s="58">
        <v>2246000</v>
      </c>
      <c r="M23" s="60"/>
      <c r="N23" s="58">
        <v>0</v>
      </c>
      <c r="O23" s="58"/>
      <c r="P23" s="58">
        <f>R23-N23</f>
        <v>1904000</v>
      </c>
      <c r="Q23" s="58"/>
      <c r="R23" s="58">
        <v>1904000</v>
      </c>
      <c r="S23" s="60"/>
      <c r="T23" s="58"/>
      <c r="U23" s="58"/>
      <c r="V23" s="58"/>
      <c r="W23" s="58"/>
      <c r="X23" s="58"/>
    </row>
    <row r="24" spans="1:24" ht="15" x14ac:dyDescent="0.35">
      <c r="A24" s="60" t="s">
        <v>69</v>
      </c>
      <c r="B24" s="64">
        <v>-11364000</v>
      </c>
      <c r="C24" s="58"/>
      <c r="D24" s="64">
        <f>F24-B24</f>
        <v>18722000</v>
      </c>
      <c r="E24" s="58"/>
      <c r="F24" s="64">
        <v>7358000</v>
      </c>
      <c r="G24" s="60"/>
      <c r="H24" s="64">
        <v>-13341000</v>
      </c>
      <c r="I24" s="58"/>
      <c r="J24" s="64">
        <f>L24-H24</f>
        <v>-2556000</v>
      </c>
      <c r="K24" s="58"/>
      <c r="L24" s="64">
        <v>-15897000</v>
      </c>
      <c r="M24" s="60"/>
      <c r="N24" s="64">
        <v>8908000</v>
      </c>
      <c r="O24" s="58"/>
      <c r="P24" s="64">
        <f>R24-N24</f>
        <v>-2821000</v>
      </c>
      <c r="Q24" s="58"/>
      <c r="R24" s="64">
        <v>6087000</v>
      </c>
      <c r="S24" s="60"/>
      <c r="T24" s="64"/>
      <c r="U24" s="58"/>
      <c r="V24" s="64"/>
      <c r="W24" s="58"/>
      <c r="X24" s="64"/>
    </row>
    <row r="25" spans="1:24" ht="15.6" thickBot="1" x14ac:dyDescent="0.4">
      <c r="A25" s="60" t="s">
        <v>70</v>
      </c>
      <c r="B25" s="59">
        <f>B20+B24</f>
        <v>55725000</v>
      </c>
      <c r="C25" s="58"/>
      <c r="D25" s="59">
        <f>D20+D24</f>
        <v>47918000</v>
      </c>
      <c r="E25" s="58"/>
      <c r="F25" s="59">
        <f>F20+F24</f>
        <v>103643000</v>
      </c>
      <c r="G25" s="60"/>
      <c r="H25" s="59">
        <f>H20+H24</f>
        <v>53479000</v>
      </c>
      <c r="I25" s="58"/>
      <c r="J25" s="59">
        <f>J20+J24</f>
        <v>7488000</v>
      </c>
      <c r="K25" s="58"/>
      <c r="L25" s="59">
        <f>L20+L24</f>
        <v>60967000</v>
      </c>
      <c r="M25" s="60"/>
      <c r="N25" s="59">
        <f>N20+N24</f>
        <v>75100000</v>
      </c>
      <c r="O25" s="58"/>
      <c r="P25" s="59">
        <f>P20+P24</f>
        <v>7468000</v>
      </c>
      <c r="Q25" s="58"/>
      <c r="R25" s="59">
        <f>R20+R24</f>
        <v>82568000</v>
      </c>
      <c r="S25" s="60"/>
      <c r="T25" s="59">
        <f>T20+T24</f>
        <v>0</v>
      </c>
      <c r="U25" s="58"/>
      <c r="V25" s="59">
        <f>V20+V24</f>
        <v>0</v>
      </c>
      <c r="W25" s="58"/>
      <c r="X25" s="59">
        <f>X20+X24</f>
        <v>0</v>
      </c>
    </row>
    <row r="26" spans="1:24" ht="15.6" thickTop="1" x14ac:dyDescent="0.35">
      <c r="A26" s="60"/>
      <c r="B26" s="60"/>
      <c r="C26" s="60"/>
      <c r="D26" s="60"/>
      <c r="E26" s="60"/>
      <c r="F26" s="60"/>
      <c r="G26" s="60"/>
      <c r="H26" s="60"/>
      <c r="I26" s="60"/>
      <c r="J26" s="60"/>
      <c r="K26" s="60"/>
      <c r="L26" s="60"/>
      <c r="M26" s="60"/>
      <c r="N26" s="60"/>
      <c r="O26" s="60"/>
      <c r="P26" s="60"/>
      <c r="Q26" s="60"/>
      <c r="R26" s="60"/>
      <c r="S26" s="60"/>
      <c r="T26" s="60"/>
      <c r="U26" s="60"/>
      <c r="V26" s="60"/>
      <c r="W26" s="60"/>
      <c r="X26" s="60"/>
    </row>
    <row r="27" spans="1:24" ht="15" x14ac:dyDescent="0.35">
      <c r="A27" s="60" t="s">
        <v>71</v>
      </c>
      <c r="B27" s="65">
        <f>+B20/B22</f>
        <v>-5.9036430834213309</v>
      </c>
      <c r="C27" s="60"/>
      <c r="D27" s="65">
        <f>+D20/D22</f>
        <v>1.0744884439864566</v>
      </c>
      <c r="E27" s="60"/>
      <c r="F27" s="65">
        <f>+F20/F22</f>
        <v>6.0909033400809713</v>
      </c>
      <c r="G27" s="60"/>
      <c r="H27" s="65">
        <f>+H20/H22</f>
        <v>-5.0086200434750019</v>
      </c>
      <c r="I27" s="60"/>
      <c r="J27" s="65">
        <f>+J20/J22</f>
        <v>-2.0916284881299458</v>
      </c>
      <c r="K27" s="60"/>
      <c r="L27" s="65">
        <f>+L20/L22</f>
        <v>-4.2365650664167998</v>
      </c>
      <c r="M27" s="60"/>
      <c r="N27" s="65">
        <f>+N20/N22</f>
        <v>7.4306241580601711</v>
      </c>
      <c r="O27" s="60"/>
      <c r="P27" s="65">
        <f>+P20/P22</f>
        <v>-2.1775661375661377</v>
      </c>
      <c r="Q27" s="60"/>
      <c r="R27" s="65">
        <f>+R20/R22</f>
        <v>18.283767630886924</v>
      </c>
      <c r="S27" s="60"/>
      <c r="T27" s="65"/>
      <c r="U27" s="60"/>
      <c r="V27" s="65"/>
      <c r="W27" s="60"/>
      <c r="X27" s="65"/>
    </row>
    <row r="28" spans="1:24" ht="15" x14ac:dyDescent="0.35">
      <c r="A28" s="60" t="s">
        <v>72</v>
      </c>
      <c r="B28" s="65">
        <f>+B20/B12</f>
        <v>1.2039300134589501</v>
      </c>
      <c r="C28" s="60"/>
      <c r="D28" s="65">
        <f>+D20/D12</f>
        <v>0.60929087190617304</v>
      </c>
      <c r="E28" s="60"/>
      <c r="F28" s="65">
        <f>+F20/F12</f>
        <v>0.92900630047374155</v>
      </c>
      <c r="G28" s="60"/>
      <c r="H28" s="65">
        <f>+H20/H12</f>
        <v>1.2494624058041475</v>
      </c>
      <c r="I28" s="60"/>
      <c r="J28" s="65">
        <f>+J20/J12</f>
        <v>1.3413461538461537</v>
      </c>
      <c r="K28" s="60"/>
      <c r="L28" s="65">
        <f>+L20/L12</f>
        <v>1.2607476175635999</v>
      </c>
      <c r="M28" s="60"/>
      <c r="N28" s="65">
        <f>+N20/N12</f>
        <v>0.88138482023968046</v>
      </c>
      <c r="O28" s="60"/>
      <c r="P28" s="65">
        <f>+P20/P12</f>
        <v>1.3777450455275844</v>
      </c>
      <c r="Q28" s="60"/>
      <c r="R28" s="65">
        <f>+R20/R12</f>
        <v>0.9262789458385815</v>
      </c>
      <c r="S28" s="60"/>
      <c r="T28" s="65"/>
      <c r="U28" s="60"/>
      <c r="V28" s="65"/>
      <c r="W28" s="60"/>
      <c r="X28" s="65"/>
    </row>
  </sheetData>
  <mergeCells count="4">
    <mergeCell ref="B1:F1"/>
    <mergeCell ref="H1:L1"/>
    <mergeCell ref="N1:R1"/>
    <mergeCell ref="T1:X1"/>
  </mergeCells>
  <conditionalFormatting sqref="A4:X12">
    <cfRule type="expression" dxfId="10" priority="2">
      <formula>MOD(ROW(),2)=0</formula>
    </cfRule>
  </conditionalFormatting>
  <conditionalFormatting sqref="A15:X20">
    <cfRule type="expression" dxfId="9" priority="1">
      <formula>MOD(ROW(),2)=0</formula>
    </cfRule>
  </conditionalFormatting>
  <conditionalFormatting sqref="A22:X25 A27:X28">
    <cfRule type="expression" dxfId="8" priority="3">
      <formula>MOD(ROW(),2)=0</formula>
    </cfRule>
  </conditionalFormatting>
  <pageMargins left="0.7" right="0.7" top="0.75" bottom="0.75" header="0.3" footer="0.3"/>
  <pageSetup scale="53"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A083-6256-744B-8F4E-8D327D62F36B}">
  <sheetPr>
    <pageSetUpPr fitToPage="1"/>
  </sheetPr>
  <dimension ref="A1"/>
  <sheetViews>
    <sheetView workbookViewId="0">
      <selection activeCell="F16" sqref="F16"/>
    </sheetView>
  </sheetViews>
  <sheetFormatPr defaultColWidth="10.88671875" defaultRowHeight="14.4" x14ac:dyDescent="0.3"/>
  <cols>
    <col min="1" max="16384" width="10.88671875" style="6"/>
  </cols>
  <sheetData/>
  <pageMargins left="0.7" right="0.7" top="0.75" bottom="0.75" header="0.3" footer="0.3"/>
  <pageSetup scale="76"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944-D9FF-C04B-AFFF-E1620B812609}">
  <sheetPr>
    <tabColor rgb="FF2C6B73"/>
    <pageSetUpPr fitToPage="1"/>
  </sheetPr>
  <dimension ref="A1:R28"/>
  <sheetViews>
    <sheetView showGridLines="0" view="pageBreakPreview" zoomScaleNormal="100" zoomScaleSheetLayoutView="100" workbookViewId="0">
      <pane xSplit="1" ySplit="2" topLeftCell="P3" activePane="bottomRight" state="frozen"/>
      <selection pane="topRight" activeCell="B1" sqref="B1"/>
      <selection pane="bottomLeft" activeCell="A3" sqref="A3"/>
      <selection pane="bottomRight" activeCell="P9" sqref="P9"/>
    </sheetView>
  </sheetViews>
  <sheetFormatPr defaultColWidth="12.88671875" defaultRowHeight="14.4" x14ac:dyDescent="0.3"/>
  <cols>
    <col min="1" max="1" width="59.6640625" style="1" customWidth="1"/>
    <col min="2" max="2" width="12.44140625" style="4" customWidth="1"/>
    <col min="3" max="9" width="12.44140625" style="1" customWidth="1"/>
    <col min="10" max="10" width="12.44140625" style="4" customWidth="1"/>
    <col min="11" max="17" width="12.44140625" style="1" customWidth="1"/>
    <col min="18" max="16384" width="12.88671875" style="1"/>
  </cols>
  <sheetData>
    <row r="1" spans="1:18" ht="15.75" customHeight="1" x14ac:dyDescent="0.35">
      <c r="A1" s="40"/>
      <c r="B1" s="41" t="s">
        <v>0</v>
      </c>
      <c r="C1" s="41" t="s">
        <v>0</v>
      </c>
      <c r="D1" s="41" t="s">
        <v>0</v>
      </c>
      <c r="E1" s="41" t="s">
        <v>0</v>
      </c>
      <c r="F1" s="41" t="s">
        <v>0</v>
      </c>
      <c r="G1" s="41" t="s">
        <v>27</v>
      </c>
      <c r="H1" s="41" t="s">
        <v>27</v>
      </c>
      <c r="I1" s="41" t="s">
        <v>27</v>
      </c>
      <c r="J1" s="41" t="s">
        <v>27</v>
      </c>
      <c r="K1" s="41" t="s">
        <v>27</v>
      </c>
      <c r="L1" s="41" t="s">
        <v>27</v>
      </c>
      <c r="M1" s="41" t="s">
        <v>27</v>
      </c>
      <c r="N1" s="41" t="s">
        <v>27</v>
      </c>
      <c r="O1" s="41" t="s">
        <v>27</v>
      </c>
      <c r="P1" s="41" t="s">
        <v>27</v>
      </c>
      <c r="Q1" s="41" t="s">
        <v>27</v>
      </c>
    </row>
    <row r="2" spans="1:18" ht="27.6" customHeight="1" x14ac:dyDescent="0.35">
      <c r="A2" s="40"/>
      <c r="B2" s="42">
        <v>2019</v>
      </c>
      <c r="C2" s="42">
        <v>2020</v>
      </c>
      <c r="D2" s="42">
        <v>2021</v>
      </c>
      <c r="E2" s="42">
        <v>2022</v>
      </c>
      <c r="F2" s="42">
        <v>2023</v>
      </c>
      <c r="G2" s="42" t="s">
        <v>28</v>
      </c>
      <c r="H2" s="42" t="s">
        <v>29</v>
      </c>
      <c r="I2" s="42" t="s">
        <v>30</v>
      </c>
      <c r="J2" s="42" t="s">
        <v>31</v>
      </c>
      <c r="K2" s="42" t="s">
        <v>32</v>
      </c>
      <c r="L2" s="42" t="s">
        <v>33</v>
      </c>
      <c r="M2" s="42" t="s">
        <v>34</v>
      </c>
      <c r="N2" s="42" t="s">
        <v>124</v>
      </c>
      <c r="O2" s="42" t="s">
        <v>140</v>
      </c>
      <c r="P2" s="42" t="s">
        <v>148</v>
      </c>
      <c r="Q2" s="42" t="s">
        <v>151</v>
      </c>
    </row>
    <row r="3" spans="1:18" ht="15" customHeight="1" x14ac:dyDescent="0.35">
      <c r="A3" s="43" t="s">
        <v>73</v>
      </c>
      <c r="B3" s="44">
        <v>6467000</v>
      </c>
      <c r="C3" s="44">
        <v>-5446000</v>
      </c>
      <c r="D3" s="44">
        <v>-698000</v>
      </c>
      <c r="E3" s="45">
        <v>2020000</v>
      </c>
      <c r="F3" s="45">
        <v>-12703000</v>
      </c>
      <c r="G3" s="45">
        <v>-1207000</v>
      </c>
      <c r="H3" s="45">
        <v>-5726000</v>
      </c>
      <c r="I3" s="45">
        <v>-3409000</v>
      </c>
      <c r="J3" s="45">
        <v>-2361000</v>
      </c>
      <c r="K3" s="45">
        <v>-3805000</v>
      </c>
      <c r="L3" s="45">
        <v>-4730000</v>
      </c>
      <c r="M3" s="45">
        <v>146000</v>
      </c>
      <c r="N3" s="45">
        <v>-11388000</v>
      </c>
      <c r="O3" s="45">
        <v>-4407000</v>
      </c>
      <c r="P3" s="45">
        <v>-5299000</v>
      </c>
      <c r="Q3" s="45">
        <v>-4371000</v>
      </c>
    </row>
    <row r="4" spans="1:18" ht="15.75" customHeight="1" x14ac:dyDescent="0.35">
      <c r="A4" s="40" t="s">
        <v>74</v>
      </c>
      <c r="B4" s="46">
        <v>-523000</v>
      </c>
      <c r="C4" s="46">
        <v>-20099000</v>
      </c>
      <c r="D4" s="46">
        <v>-20469000</v>
      </c>
      <c r="E4" s="47">
        <v>11931000</v>
      </c>
      <c r="F4" s="47">
        <v>-14891000</v>
      </c>
      <c r="G4" s="47">
        <v>1502000</v>
      </c>
      <c r="H4" s="47">
        <v>-5854000</v>
      </c>
      <c r="I4" s="47">
        <v>-8813000</v>
      </c>
      <c r="J4" s="47">
        <v>-1726000</v>
      </c>
      <c r="K4" s="47">
        <v>-1457000</v>
      </c>
      <c r="L4" s="47">
        <v>-586000</v>
      </c>
      <c r="M4" s="47">
        <v>-145000</v>
      </c>
      <c r="N4" s="47">
        <v>495000</v>
      </c>
      <c r="O4" s="47">
        <v>-147000</v>
      </c>
      <c r="P4" s="47">
        <v>-401000</v>
      </c>
      <c r="Q4" s="47">
        <v>-342000</v>
      </c>
    </row>
    <row r="5" spans="1:18" ht="15.75" customHeight="1" x14ac:dyDescent="0.35">
      <c r="A5" s="43" t="s">
        <v>75</v>
      </c>
      <c r="B5" s="44">
        <v>5944000</v>
      </c>
      <c r="C5" s="44">
        <v>-25545000</v>
      </c>
      <c r="D5" s="44">
        <v>-21167000</v>
      </c>
      <c r="E5" s="45">
        <v>13951000</v>
      </c>
      <c r="F5" s="45">
        <v>-27594000</v>
      </c>
      <c r="G5" s="45">
        <v>295000</v>
      </c>
      <c r="H5" s="45">
        <v>-11580000</v>
      </c>
      <c r="I5" s="45">
        <v>-12222000</v>
      </c>
      <c r="J5" s="45">
        <v>-4087000</v>
      </c>
      <c r="K5" s="45">
        <v>-5262000</v>
      </c>
      <c r="L5" s="45">
        <v>-5316000</v>
      </c>
      <c r="M5" s="45">
        <v>1000</v>
      </c>
      <c r="N5" s="45">
        <f>SUM(N3:N4)</f>
        <v>-10893000</v>
      </c>
      <c r="O5" s="45">
        <f>SUM(O3:O4)</f>
        <v>-4554000</v>
      </c>
      <c r="P5" s="45">
        <f>SUM(P3:P4)</f>
        <v>-5700000</v>
      </c>
      <c r="Q5" s="45">
        <f>SUM(Q3:Q4)</f>
        <v>-4713000</v>
      </c>
    </row>
    <row r="6" spans="1:18" ht="15.75" customHeight="1" x14ac:dyDescent="0.35">
      <c r="A6" s="40" t="s">
        <v>76</v>
      </c>
      <c r="B6" s="46">
        <v>0</v>
      </c>
      <c r="C6" s="46">
        <v>0</v>
      </c>
      <c r="D6" s="46">
        <v>0</v>
      </c>
      <c r="E6" s="47">
        <v>0</v>
      </c>
      <c r="F6" s="47">
        <v>0</v>
      </c>
      <c r="G6" s="47">
        <v>0</v>
      </c>
      <c r="H6" s="47">
        <v>0</v>
      </c>
      <c r="I6" s="47">
        <v>0</v>
      </c>
      <c r="J6" s="47">
        <v>0</v>
      </c>
      <c r="K6" s="47">
        <v>0</v>
      </c>
      <c r="L6" s="47">
        <v>0</v>
      </c>
      <c r="M6" s="47">
        <v>0</v>
      </c>
      <c r="N6" s="47">
        <v>0</v>
      </c>
      <c r="O6" s="47">
        <v>0</v>
      </c>
      <c r="P6" s="47">
        <v>0</v>
      </c>
      <c r="Q6" s="47">
        <v>0</v>
      </c>
      <c r="R6" s="3"/>
    </row>
    <row r="7" spans="1:18" ht="15.75" customHeight="1" x14ac:dyDescent="0.35">
      <c r="A7" s="43" t="s">
        <v>77</v>
      </c>
      <c r="B7" s="44">
        <v>5944000</v>
      </c>
      <c r="C7" s="44">
        <v>-25545000</v>
      </c>
      <c r="D7" s="44">
        <v>-21167000</v>
      </c>
      <c r="E7" s="45">
        <v>13951000</v>
      </c>
      <c r="F7" s="45">
        <v>-27594000</v>
      </c>
      <c r="G7" s="45">
        <v>295000</v>
      </c>
      <c r="H7" s="45">
        <v>-11580000</v>
      </c>
      <c r="I7" s="45">
        <v>-12222000</v>
      </c>
      <c r="J7" s="45">
        <v>-4087000</v>
      </c>
      <c r="K7" s="45">
        <v>-5262000</v>
      </c>
      <c r="L7" s="45">
        <v>-5316000</v>
      </c>
      <c r="M7" s="45">
        <v>1000</v>
      </c>
      <c r="N7" s="45">
        <f>SUM(N5:N6)</f>
        <v>-10893000</v>
      </c>
      <c r="O7" s="45">
        <f>SUM(O5:O6)</f>
        <v>-4554000</v>
      </c>
      <c r="P7" s="45">
        <f>SUM(P5:P6)</f>
        <v>-5700000</v>
      </c>
      <c r="Q7" s="45">
        <f>SUM(Q5:Q6)</f>
        <v>-4713000</v>
      </c>
    </row>
    <row r="8" spans="1:18" ht="15.75" customHeight="1" x14ac:dyDescent="0.35">
      <c r="A8" s="40" t="s">
        <v>78</v>
      </c>
      <c r="B8" s="48">
        <v>617000</v>
      </c>
      <c r="C8" s="48">
        <v>21829000</v>
      </c>
      <c r="D8" s="48">
        <v>20591000</v>
      </c>
      <c r="E8" s="49">
        <v>-11609000</v>
      </c>
      <c r="F8" s="49">
        <v>15809000</v>
      </c>
      <c r="G8" s="49">
        <v>-1129000</v>
      </c>
      <c r="H8" s="49">
        <v>5939000</v>
      </c>
      <c r="I8" s="49">
        <v>8856000</v>
      </c>
      <c r="J8" s="49">
        <v>2142000</v>
      </c>
      <c r="K8" s="49">
        <v>1708000</v>
      </c>
      <c r="L8" s="49">
        <v>676000</v>
      </c>
      <c r="M8" s="49">
        <v>155000</v>
      </c>
      <c r="N8" s="49">
        <v>-806000</v>
      </c>
      <c r="O8" s="49">
        <v>444000</v>
      </c>
      <c r="P8" s="49">
        <f>-P7-4941000</f>
        <v>759000</v>
      </c>
      <c r="Q8" s="49">
        <f>266000+1000</f>
        <v>267000</v>
      </c>
    </row>
    <row r="9" spans="1:18" ht="15.75" customHeight="1" x14ac:dyDescent="0.35">
      <c r="A9" s="43" t="s">
        <v>79</v>
      </c>
      <c r="B9" s="50">
        <v>6561000</v>
      </c>
      <c r="C9" s="51">
        <v>-3716000</v>
      </c>
      <c r="D9" s="51">
        <v>-576000</v>
      </c>
      <c r="E9" s="50">
        <v>2342000</v>
      </c>
      <c r="F9" s="50">
        <v>-11785000</v>
      </c>
      <c r="G9" s="50">
        <v>-834000</v>
      </c>
      <c r="H9" s="50">
        <v>-5641000</v>
      </c>
      <c r="I9" s="50">
        <v>-3366000</v>
      </c>
      <c r="J9" s="50">
        <v>-1945000</v>
      </c>
      <c r="K9" s="50">
        <v>-3554000</v>
      </c>
      <c r="L9" s="50">
        <v>-4640000</v>
      </c>
      <c r="M9" s="50">
        <v>156000</v>
      </c>
      <c r="N9" s="50">
        <f>SUM(N7:N8)</f>
        <v>-11699000</v>
      </c>
      <c r="O9" s="50">
        <f>SUM(O7:O8)</f>
        <v>-4110000</v>
      </c>
      <c r="P9" s="50">
        <f>SUM(P7:P8)</f>
        <v>-4941000</v>
      </c>
      <c r="Q9" s="50">
        <f>SUM(Q7:Q8)</f>
        <v>-4446000</v>
      </c>
    </row>
    <row r="10" spans="1:18" ht="15.75" customHeight="1" x14ac:dyDescent="0.35">
      <c r="A10" s="40" t="s">
        <v>9</v>
      </c>
      <c r="B10" s="48">
        <v>176000</v>
      </c>
      <c r="C10" s="48">
        <v>149000</v>
      </c>
      <c r="D10" s="48">
        <v>83000</v>
      </c>
      <c r="E10" s="49">
        <v>44000</v>
      </c>
      <c r="F10" s="49">
        <v>551000</v>
      </c>
      <c r="G10" s="49">
        <v>32000</v>
      </c>
      <c r="H10" s="49">
        <v>92000</v>
      </c>
      <c r="I10" s="49">
        <v>73000</v>
      </c>
      <c r="J10" s="49">
        <v>354000</v>
      </c>
      <c r="K10" s="49">
        <v>183000</v>
      </c>
      <c r="L10" s="49">
        <v>119000</v>
      </c>
      <c r="M10" s="49">
        <v>145000</v>
      </c>
      <c r="N10" s="49">
        <v>151000</v>
      </c>
      <c r="O10" s="49">
        <v>162000</v>
      </c>
      <c r="P10" s="49">
        <v>174000</v>
      </c>
      <c r="Q10" s="49">
        <v>167000</v>
      </c>
    </row>
    <row r="11" spans="1:18" ht="15.75" customHeight="1" x14ac:dyDescent="0.35">
      <c r="A11" s="40" t="s">
        <v>13</v>
      </c>
      <c r="B11" s="48">
        <v>-10000</v>
      </c>
      <c r="C11" s="48">
        <v>-7000</v>
      </c>
      <c r="D11" s="48">
        <v>-104000</v>
      </c>
      <c r="E11" s="49">
        <v>-177000</v>
      </c>
      <c r="F11" s="49">
        <v>-1863000</v>
      </c>
      <c r="G11" s="49">
        <v>-252000</v>
      </c>
      <c r="H11" s="49">
        <v>-497000</v>
      </c>
      <c r="I11" s="49">
        <v>-730000</v>
      </c>
      <c r="J11" s="49">
        <v>-384000</v>
      </c>
      <c r="K11" s="49">
        <v>-285000</v>
      </c>
      <c r="L11" s="49">
        <v>-170000</v>
      </c>
      <c r="M11" s="49">
        <v>-59000</v>
      </c>
      <c r="N11" s="49">
        <v>-35000</v>
      </c>
      <c r="O11" s="49">
        <v>-33000</v>
      </c>
      <c r="P11" s="49">
        <v>-30000</v>
      </c>
      <c r="Q11" s="49">
        <f>-28000</f>
        <v>-28000</v>
      </c>
    </row>
    <row r="12" spans="1:18" ht="15.75" customHeight="1" x14ac:dyDescent="0.35">
      <c r="A12" s="40" t="s">
        <v>14</v>
      </c>
      <c r="B12" s="48">
        <v>1294000</v>
      </c>
      <c r="C12" s="48">
        <v>-437000</v>
      </c>
      <c r="D12" s="48">
        <v>756000</v>
      </c>
      <c r="E12" s="49">
        <v>1056000</v>
      </c>
      <c r="F12" s="49">
        <v>4716000</v>
      </c>
      <c r="G12" s="49">
        <v>832000</v>
      </c>
      <c r="H12" s="49">
        <v>1260000</v>
      </c>
      <c r="I12" s="49">
        <v>1317000</v>
      </c>
      <c r="J12" s="49">
        <v>1307000</v>
      </c>
      <c r="K12" s="49">
        <v>1295000</v>
      </c>
      <c r="L12" s="49">
        <v>1315000</v>
      </c>
      <c r="M12" s="49">
        <v>1348000</v>
      </c>
      <c r="N12" s="49">
        <v>1466000</v>
      </c>
      <c r="O12" s="49">
        <v>1611000</v>
      </c>
      <c r="P12" s="49">
        <v>1738000</v>
      </c>
      <c r="Q12" s="49">
        <v>1876000</v>
      </c>
    </row>
    <row r="13" spans="1:18" ht="15.75" customHeight="1" x14ac:dyDescent="0.35">
      <c r="A13" s="43" t="s">
        <v>17</v>
      </c>
      <c r="B13" s="50">
        <v>8021000</v>
      </c>
      <c r="C13" s="50">
        <v>-4011000</v>
      </c>
      <c r="D13" s="50">
        <v>159000</v>
      </c>
      <c r="E13" s="50">
        <v>3265000</v>
      </c>
      <c r="F13" s="50">
        <v>-8381000</v>
      </c>
      <c r="G13" s="50">
        <v>-222000</v>
      </c>
      <c r="H13" s="50">
        <v>-4786000</v>
      </c>
      <c r="I13" s="50">
        <v>-2706000</v>
      </c>
      <c r="J13" s="50">
        <v>-668000</v>
      </c>
      <c r="K13" s="50">
        <v>-2361000</v>
      </c>
      <c r="L13" s="50">
        <v>-3376000</v>
      </c>
      <c r="M13" s="50">
        <v>1590000</v>
      </c>
      <c r="N13" s="50">
        <f>SUM(N9:N12)</f>
        <v>-10117000</v>
      </c>
      <c r="O13" s="50">
        <f>SUM(O9:O12)</f>
        <v>-2370000</v>
      </c>
      <c r="P13" s="50">
        <f>SUM(P9:P12)</f>
        <v>-3059000</v>
      </c>
      <c r="Q13" s="50">
        <f>SUM(Q9:Q12)</f>
        <v>-2431000</v>
      </c>
    </row>
    <row r="14" spans="1:18" ht="15.75" customHeight="1" x14ac:dyDescent="0.35">
      <c r="A14" s="40" t="s">
        <v>80</v>
      </c>
      <c r="B14" s="52"/>
      <c r="C14" s="52">
        <v>-110000</v>
      </c>
      <c r="D14" s="52">
        <v>24000</v>
      </c>
      <c r="E14" s="53">
        <v>460000</v>
      </c>
      <c r="F14" s="53">
        <v>3726000</v>
      </c>
      <c r="G14" s="53">
        <v>702000</v>
      </c>
      <c r="H14" s="53">
        <v>1922000</v>
      </c>
      <c r="I14" s="53">
        <v>393000</v>
      </c>
      <c r="J14" s="53">
        <v>709000</v>
      </c>
      <c r="K14" s="53">
        <v>400000</v>
      </c>
      <c r="L14" s="53">
        <v>584000</v>
      </c>
      <c r="M14" s="53">
        <v>738000</v>
      </c>
      <c r="N14" s="53">
        <v>656000</v>
      </c>
      <c r="O14" s="53">
        <v>661000</v>
      </c>
      <c r="P14" s="53">
        <v>369000</v>
      </c>
      <c r="Q14" s="53">
        <v>332000</v>
      </c>
    </row>
    <row r="15" spans="1:18" ht="15.75" customHeight="1" x14ac:dyDescent="0.35">
      <c r="A15" s="40" t="s">
        <v>134</v>
      </c>
      <c r="B15" s="52">
        <v>0</v>
      </c>
      <c r="C15" s="52">
        <v>0</v>
      </c>
      <c r="D15" s="52">
        <v>0</v>
      </c>
      <c r="E15" s="53">
        <v>0</v>
      </c>
      <c r="F15" s="53">
        <v>0</v>
      </c>
      <c r="G15" s="53">
        <v>0</v>
      </c>
      <c r="H15" s="53">
        <v>0</v>
      </c>
      <c r="I15" s="53">
        <v>0</v>
      </c>
      <c r="J15" s="53">
        <v>0</v>
      </c>
      <c r="K15" s="53">
        <v>0</v>
      </c>
      <c r="L15" s="53">
        <v>0</v>
      </c>
      <c r="M15" s="53">
        <v>0</v>
      </c>
      <c r="N15" s="53">
        <v>4304000</v>
      </c>
      <c r="O15" s="53">
        <v>279000</v>
      </c>
      <c r="P15" s="53">
        <v>2037000</v>
      </c>
      <c r="Q15" s="53">
        <v>102000</v>
      </c>
    </row>
    <row r="16" spans="1:18" ht="15.75" customHeight="1" x14ac:dyDescent="0.35">
      <c r="A16" s="40" t="s">
        <v>156</v>
      </c>
      <c r="B16" s="52"/>
      <c r="C16" s="52"/>
      <c r="D16" s="52"/>
      <c r="E16" s="53"/>
      <c r="F16" s="53"/>
      <c r="G16" s="53"/>
      <c r="H16" s="53"/>
      <c r="I16" s="53">
        <v>0</v>
      </c>
      <c r="J16" s="53">
        <v>0</v>
      </c>
      <c r="K16" s="53">
        <v>0</v>
      </c>
      <c r="L16" s="53">
        <v>0</v>
      </c>
      <c r="M16" s="53">
        <v>0</v>
      </c>
      <c r="N16" s="53">
        <v>0</v>
      </c>
      <c r="O16" s="53">
        <v>0</v>
      </c>
      <c r="P16" s="53">
        <v>0</v>
      </c>
      <c r="Q16" s="53">
        <v>677000</v>
      </c>
    </row>
    <row r="17" spans="1:17" ht="15.75" customHeight="1" x14ac:dyDescent="0.35">
      <c r="A17" s="40" t="s">
        <v>135</v>
      </c>
      <c r="B17" s="52">
        <v>0</v>
      </c>
      <c r="C17" s="52">
        <v>0</v>
      </c>
      <c r="D17" s="52">
        <v>0</v>
      </c>
      <c r="E17" s="53">
        <v>0</v>
      </c>
      <c r="F17" s="53">
        <v>0</v>
      </c>
      <c r="G17" s="53">
        <v>0</v>
      </c>
      <c r="H17" s="53">
        <v>0</v>
      </c>
      <c r="I17" s="53">
        <v>0</v>
      </c>
      <c r="J17" s="53">
        <v>0</v>
      </c>
      <c r="K17" s="53">
        <v>0</v>
      </c>
      <c r="L17" s="53">
        <v>0</v>
      </c>
      <c r="M17" s="53">
        <v>0</v>
      </c>
      <c r="N17" s="53">
        <v>4079000</v>
      </c>
      <c r="O17" s="53">
        <v>3000</v>
      </c>
      <c r="P17" s="53">
        <v>106000</v>
      </c>
      <c r="Q17" s="53">
        <v>35000</v>
      </c>
    </row>
    <row r="18" spans="1:17" ht="15.75" customHeight="1" x14ac:dyDescent="0.35">
      <c r="A18" s="40" t="s">
        <v>81</v>
      </c>
      <c r="B18" s="52"/>
      <c r="C18" s="52">
        <v>138000</v>
      </c>
      <c r="D18" s="52"/>
      <c r="E18" s="53">
        <v>0</v>
      </c>
      <c r="F18" s="53">
        <v>19000</v>
      </c>
      <c r="G18" s="53">
        <v>13000</v>
      </c>
      <c r="H18" s="53">
        <v>0</v>
      </c>
      <c r="I18" s="53">
        <v>6000</v>
      </c>
      <c r="J18" s="53">
        <v>0</v>
      </c>
      <c r="K18" s="53">
        <v>7000</v>
      </c>
      <c r="L18" s="53">
        <v>171000</v>
      </c>
      <c r="M18" s="53">
        <v>25000</v>
      </c>
      <c r="N18" s="53">
        <v>41000</v>
      </c>
      <c r="O18" s="53">
        <v>51000</v>
      </c>
      <c r="P18" s="53">
        <v>454000</v>
      </c>
      <c r="Q18" s="53">
        <v>593000</v>
      </c>
    </row>
    <row r="19" spans="1:17" ht="15.75" customHeight="1" x14ac:dyDescent="0.35">
      <c r="A19" s="40" t="s">
        <v>82</v>
      </c>
      <c r="B19" s="52">
        <v>1276000</v>
      </c>
      <c r="C19" s="52">
        <v>878000</v>
      </c>
      <c r="D19" s="52">
        <v>1040000</v>
      </c>
      <c r="E19" s="53">
        <v>779000</v>
      </c>
      <c r="F19" s="53">
        <v>0</v>
      </c>
      <c r="G19" s="53">
        <v>0</v>
      </c>
      <c r="H19" s="53">
        <v>0</v>
      </c>
      <c r="I19" s="53">
        <v>0</v>
      </c>
      <c r="J19" s="53">
        <v>0</v>
      </c>
      <c r="K19" s="53">
        <v>0</v>
      </c>
      <c r="L19" s="53">
        <v>0</v>
      </c>
      <c r="M19" s="53">
        <v>0</v>
      </c>
      <c r="N19" s="53">
        <v>0</v>
      </c>
      <c r="O19" s="53">
        <v>0</v>
      </c>
      <c r="P19" s="53">
        <v>0</v>
      </c>
      <c r="Q19" s="53">
        <v>0</v>
      </c>
    </row>
    <row r="20" spans="1:17" ht="15.75" customHeight="1" x14ac:dyDescent="0.35">
      <c r="A20" s="40" t="s">
        <v>83</v>
      </c>
      <c r="B20" s="52"/>
      <c r="C20" s="52"/>
      <c r="D20" s="52">
        <v>1818000</v>
      </c>
      <c r="E20" s="53">
        <v>525000</v>
      </c>
      <c r="F20" s="53">
        <v>0</v>
      </c>
      <c r="G20" s="53">
        <v>0</v>
      </c>
      <c r="H20" s="53">
        <v>0</v>
      </c>
      <c r="I20" s="53">
        <v>0</v>
      </c>
      <c r="J20" s="53">
        <v>0</v>
      </c>
      <c r="K20" s="53">
        <v>0</v>
      </c>
      <c r="L20" s="53">
        <v>0</v>
      </c>
      <c r="M20" s="53">
        <v>0</v>
      </c>
      <c r="N20" s="53">
        <v>0</v>
      </c>
      <c r="O20" s="53">
        <v>0</v>
      </c>
      <c r="P20" s="53">
        <v>0</v>
      </c>
      <c r="Q20" s="53">
        <v>0</v>
      </c>
    </row>
    <row r="21" spans="1:17" ht="16.649999999999999" customHeight="1" x14ac:dyDescent="0.35">
      <c r="A21" s="40" t="s">
        <v>84</v>
      </c>
      <c r="B21" s="52">
        <v>269000</v>
      </c>
      <c r="C21" s="52">
        <v>291000</v>
      </c>
      <c r="D21" s="52">
        <v>317000</v>
      </c>
      <c r="E21" s="53">
        <v>313000</v>
      </c>
      <c r="F21" s="53">
        <v>183000</v>
      </c>
      <c r="G21" s="53">
        <v>183000</v>
      </c>
      <c r="H21" s="53">
        <v>0</v>
      </c>
      <c r="I21" s="53">
        <v>0</v>
      </c>
      <c r="J21" s="53">
        <v>0</v>
      </c>
      <c r="K21" s="53">
        <v>0</v>
      </c>
      <c r="L21" s="53">
        <v>0</v>
      </c>
      <c r="M21" s="53">
        <v>0</v>
      </c>
      <c r="N21" s="53">
        <v>0</v>
      </c>
      <c r="O21" s="53">
        <v>0</v>
      </c>
      <c r="P21" s="53">
        <v>0</v>
      </c>
      <c r="Q21" s="53">
        <v>0</v>
      </c>
    </row>
    <row r="22" spans="1:17" ht="16.649999999999999" customHeight="1" x14ac:dyDescent="0.35">
      <c r="A22" s="40" t="s">
        <v>76</v>
      </c>
      <c r="B22" s="52">
        <v>0</v>
      </c>
      <c r="C22" s="52">
        <v>0</v>
      </c>
      <c r="D22" s="52">
        <v>0</v>
      </c>
      <c r="E22" s="53">
        <v>0</v>
      </c>
      <c r="F22" s="53">
        <v>0</v>
      </c>
      <c r="G22" s="53">
        <v>0</v>
      </c>
      <c r="H22" s="53">
        <v>0</v>
      </c>
      <c r="I22" s="53">
        <v>0</v>
      </c>
      <c r="J22" s="53">
        <v>0</v>
      </c>
      <c r="K22" s="53">
        <v>0</v>
      </c>
      <c r="L22" s="53">
        <v>0</v>
      </c>
      <c r="M22" s="53">
        <v>0</v>
      </c>
      <c r="N22" s="53">
        <v>0</v>
      </c>
      <c r="O22" s="53">
        <v>0</v>
      </c>
      <c r="P22" s="53">
        <v>0</v>
      </c>
      <c r="Q22" s="53">
        <v>0</v>
      </c>
    </row>
    <row r="23" spans="1:17" ht="16.649999999999999" customHeight="1" x14ac:dyDescent="0.35">
      <c r="A23" s="40" t="s">
        <v>85</v>
      </c>
      <c r="B23" s="52"/>
      <c r="C23" s="52"/>
      <c r="D23" s="52"/>
      <c r="E23" s="53">
        <v>0</v>
      </c>
      <c r="F23" s="53">
        <v>1339000</v>
      </c>
      <c r="G23" s="53">
        <v>0</v>
      </c>
      <c r="H23" s="53">
        <v>0</v>
      </c>
      <c r="I23" s="53">
        <v>0</v>
      </c>
      <c r="J23" s="53">
        <v>1339000</v>
      </c>
      <c r="K23" s="53">
        <v>0</v>
      </c>
      <c r="L23" s="53">
        <v>0</v>
      </c>
      <c r="M23" s="53">
        <v>0</v>
      </c>
      <c r="N23" s="53">
        <v>0</v>
      </c>
      <c r="O23" s="53">
        <v>0</v>
      </c>
      <c r="P23" s="53">
        <v>0</v>
      </c>
      <c r="Q23" s="53">
        <v>0</v>
      </c>
    </row>
    <row r="24" spans="1:17" ht="16.649999999999999" customHeight="1" x14ac:dyDescent="0.35">
      <c r="A24" s="40" t="s">
        <v>86</v>
      </c>
      <c r="B24" s="52">
        <v>474000</v>
      </c>
      <c r="C24" s="52"/>
      <c r="D24" s="52"/>
      <c r="E24" s="53"/>
      <c r="F24" s="53"/>
      <c r="G24" s="53"/>
      <c r="H24" s="53"/>
      <c r="I24" s="53"/>
      <c r="J24" s="53"/>
      <c r="K24" s="53"/>
      <c r="L24" s="53"/>
      <c r="M24" s="53"/>
      <c r="N24" s="53">
        <v>0</v>
      </c>
      <c r="O24" s="53">
        <v>0</v>
      </c>
      <c r="P24" s="53">
        <v>0</v>
      </c>
      <c r="Q24" s="53">
        <v>0</v>
      </c>
    </row>
    <row r="25" spans="1:17" ht="16.649999999999999" customHeight="1" x14ac:dyDescent="0.35">
      <c r="A25" s="40" t="s">
        <v>13</v>
      </c>
      <c r="B25" s="52">
        <v>10000</v>
      </c>
      <c r="C25" s="52">
        <v>7000</v>
      </c>
      <c r="D25" s="52">
        <v>104000</v>
      </c>
      <c r="E25" s="52">
        <v>177000</v>
      </c>
      <c r="F25" s="52">
        <v>1863000</v>
      </c>
      <c r="G25" s="52">
        <v>252000</v>
      </c>
      <c r="H25" s="52">
        <v>497000</v>
      </c>
      <c r="I25" s="52">
        <v>730000</v>
      </c>
      <c r="J25" s="52">
        <v>384000</v>
      </c>
      <c r="K25" s="52">
        <v>285000</v>
      </c>
      <c r="L25" s="52">
        <v>170000</v>
      </c>
      <c r="M25" s="52">
        <v>59000</v>
      </c>
      <c r="N25" s="52">
        <v>35000</v>
      </c>
      <c r="O25" s="52">
        <v>33000</v>
      </c>
      <c r="P25" s="52">
        <v>30000</v>
      </c>
      <c r="Q25" s="52">
        <v>28000</v>
      </c>
    </row>
    <row r="26" spans="1:17" ht="16.649999999999999" customHeight="1" x14ac:dyDescent="0.35">
      <c r="A26" s="40" t="s">
        <v>87</v>
      </c>
      <c r="B26" s="52">
        <v>-10000</v>
      </c>
      <c r="C26" s="52">
        <v>-35000</v>
      </c>
      <c r="D26" s="52"/>
      <c r="E26" s="52"/>
      <c r="F26" s="52"/>
      <c r="G26" s="52">
        <v>106000</v>
      </c>
      <c r="H26" s="52">
        <v>40000</v>
      </c>
      <c r="I26" s="52">
        <v>66000</v>
      </c>
      <c r="J26" s="52">
        <v>-211000</v>
      </c>
      <c r="K26" s="52"/>
      <c r="L26" s="52"/>
      <c r="M26" s="52"/>
      <c r="N26" s="52"/>
      <c r="O26" s="52">
        <v>-9000</v>
      </c>
      <c r="P26" s="52">
        <v>9000</v>
      </c>
      <c r="Q26" s="52">
        <v>-1000</v>
      </c>
    </row>
    <row r="27" spans="1:17" ht="16.649999999999999" customHeight="1" thickBot="1" x14ac:dyDescent="0.4">
      <c r="A27" s="43" t="s">
        <v>88</v>
      </c>
      <c r="B27" s="54">
        <v>10040000</v>
      </c>
      <c r="C27" s="54">
        <v>-2842000</v>
      </c>
      <c r="D27" s="54">
        <v>3462000</v>
      </c>
      <c r="E27" s="54">
        <v>5519000</v>
      </c>
      <c r="F27" s="54">
        <v>-1251000</v>
      </c>
      <c r="G27" s="54">
        <v>1034000</v>
      </c>
      <c r="H27" s="54">
        <v>-2327000</v>
      </c>
      <c r="I27" s="54">
        <v>-1511000</v>
      </c>
      <c r="J27" s="54">
        <v>1553000</v>
      </c>
      <c r="K27" s="54">
        <v>-1669000</v>
      </c>
      <c r="L27" s="54">
        <v>-2451000</v>
      </c>
      <c r="M27" s="54">
        <v>2412000</v>
      </c>
      <c r="N27" s="54">
        <f>SUM(N13:N26)</f>
        <v>-1002000</v>
      </c>
      <c r="O27" s="54">
        <f>SUM(O13:O26)</f>
        <v>-1352000</v>
      </c>
      <c r="P27" s="54">
        <f>SUM(P13:P26)</f>
        <v>-54000</v>
      </c>
      <c r="Q27" s="54">
        <f>SUM(Q13:Q26)</f>
        <v>-665000</v>
      </c>
    </row>
    <row r="28" spans="1:17" ht="15" thickTop="1" x14ac:dyDescent="0.3"/>
  </sheetData>
  <conditionalFormatting sqref="A3:Q27">
    <cfRule type="expression" dxfId="7" priority="1">
      <formula>MOD(ROW(),2)=0</formula>
    </cfRule>
  </conditionalFormatting>
  <pageMargins left="0.7" right="0.7" top="0.75" bottom="0.75" header="0.3" footer="0.3"/>
  <pageSetup scale="47"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ABCE5-8350-094D-8873-816B3E0A9529}">
  <sheetPr>
    <tabColor rgb="FF2C6B73"/>
    <pageSetUpPr fitToPage="1"/>
  </sheetPr>
  <dimension ref="A1:R38"/>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33203125" customWidth="1"/>
    <col min="3" max="3" width="2.44140625" customWidth="1"/>
    <col min="4" max="4" width="12.33203125" customWidth="1"/>
    <col min="5" max="5" width="2.44140625" customWidth="1"/>
    <col min="6" max="6" width="12.33203125" customWidth="1"/>
    <col min="7" max="7" width="2.44140625" customWidth="1"/>
    <col min="8" max="8" width="12.33203125" customWidth="1" collapsed="1"/>
    <col min="9" max="9" width="2.44140625" customWidth="1"/>
    <col min="10" max="10" width="12.33203125" customWidth="1"/>
    <col min="11" max="11" width="2.44140625" customWidth="1"/>
    <col min="12" max="12" width="12.33203125" customWidth="1"/>
    <col min="13" max="13" width="2.44140625" customWidth="1"/>
    <col min="14" max="14" width="12.33203125" customWidth="1"/>
    <col min="15" max="15" width="2.44140625" customWidth="1"/>
    <col min="16" max="16" width="12.33203125" customWidth="1"/>
    <col min="17" max="17" width="2.44140625" customWidth="1"/>
    <col min="18" max="18" width="12.33203125" customWidth="1"/>
  </cols>
  <sheetData>
    <row r="1" spans="1:18" ht="15" x14ac:dyDescent="0.35">
      <c r="A1" s="7"/>
      <c r="B1" s="76" t="s">
        <v>111</v>
      </c>
      <c r="C1" s="76"/>
      <c r="D1" s="76"/>
      <c r="E1" s="76"/>
      <c r="F1" s="76"/>
      <c r="G1" s="7"/>
      <c r="H1" s="76" t="s">
        <v>112</v>
      </c>
      <c r="I1" s="76"/>
      <c r="J1" s="76"/>
      <c r="K1" s="76"/>
      <c r="L1" s="76"/>
      <c r="M1" s="7"/>
      <c r="N1" s="76" t="s">
        <v>113</v>
      </c>
      <c r="O1" s="76"/>
      <c r="P1" s="76"/>
      <c r="Q1" s="76"/>
      <c r="R1" s="76"/>
    </row>
    <row r="2" spans="1:18" ht="32.1" customHeight="1"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row>
    <row r="3" spans="1:18" ht="15" x14ac:dyDescent="0.35">
      <c r="A3" s="7" t="s">
        <v>91</v>
      </c>
      <c r="B3" s="7"/>
      <c r="C3" s="7"/>
      <c r="D3" s="7"/>
      <c r="E3" s="7"/>
      <c r="F3" s="7"/>
      <c r="G3" s="7"/>
      <c r="H3" s="7"/>
      <c r="I3" s="7"/>
      <c r="J3" s="7"/>
      <c r="K3" s="7"/>
      <c r="L3" s="7"/>
      <c r="M3" s="7"/>
      <c r="N3" s="7"/>
      <c r="O3" s="7"/>
      <c r="P3" s="7"/>
      <c r="Q3" s="7"/>
      <c r="R3" s="7"/>
    </row>
    <row r="4" spans="1:18" ht="15" x14ac:dyDescent="0.35">
      <c r="A4" s="7" t="s">
        <v>92</v>
      </c>
      <c r="B4" s="15">
        <v>21086000</v>
      </c>
      <c r="C4" s="15"/>
      <c r="D4" s="15">
        <v>-6300000</v>
      </c>
      <c r="E4" s="15"/>
      <c r="F4" s="15">
        <v>14786000</v>
      </c>
      <c r="G4" s="7"/>
      <c r="H4" s="15">
        <v>11775000</v>
      </c>
      <c r="I4" s="15"/>
      <c r="J4" s="15">
        <v>-5606000</v>
      </c>
      <c r="K4" s="15"/>
      <c r="L4" s="15">
        <v>6169000</v>
      </c>
      <c r="M4" s="7"/>
      <c r="N4" s="15">
        <v>15259000</v>
      </c>
      <c r="O4" s="15"/>
      <c r="P4" s="15">
        <v>-6117000</v>
      </c>
      <c r="Q4" s="15"/>
      <c r="R4" s="15">
        <v>9142000</v>
      </c>
    </row>
    <row r="5" spans="1:18" ht="15" x14ac:dyDescent="0.35">
      <c r="A5" s="7" t="s">
        <v>3</v>
      </c>
      <c r="B5" s="15">
        <v>4985000</v>
      </c>
      <c r="C5" s="15"/>
      <c r="D5" s="15">
        <v>-4979000</v>
      </c>
      <c r="E5" s="15"/>
      <c r="F5" s="15">
        <v>6000</v>
      </c>
      <c r="G5" s="7"/>
      <c r="H5" s="15">
        <v>422000</v>
      </c>
      <c r="I5" s="15"/>
      <c r="J5" s="15">
        <v>-123000</v>
      </c>
      <c r="K5" s="15"/>
      <c r="L5" s="15">
        <v>299000</v>
      </c>
      <c r="M5" s="7"/>
      <c r="N5" s="15">
        <v>733000</v>
      </c>
      <c r="O5" s="15"/>
      <c r="P5" s="15">
        <v>0</v>
      </c>
      <c r="Q5" s="15"/>
      <c r="R5" s="15">
        <v>733000</v>
      </c>
    </row>
    <row r="6" spans="1:18" ht="15" x14ac:dyDescent="0.35">
      <c r="A6" s="7" t="s">
        <v>114</v>
      </c>
      <c r="B6" s="15">
        <v>0</v>
      </c>
      <c r="C6" s="15"/>
      <c r="D6" s="15">
        <v>0</v>
      </c>
      <c r="E6" s="15"/>
      <c r="F6" s="15">
        <v>0</v>
      </c>
      <c r="G6" s="7"/>
      <c r="H6" s="15"/>
      <c r="I6" s="15"/>
      <c r="J6" s="15"/>
      <c r="K6" s="15"/>
      <c r="L6" s="15"/>
      <c r="M6" s="7"/>
      <c r="N6" s="15"/>
      <c r="O6" s="15"/>
      <c r="P6" s="15"/>
      <c r="Q6" s="15"/>
      <c r="R6" s="15"/>
    </row>
    <row r="7" spans="1:18" ht="15" x14ac:dyDescent="0.35">
      <c r="A7" s="7" t="s">
        <v>93</v>
      </c>
      <c r="B7" s="15">
        <v>0</v>
      </c>
      <c r="C7" s="15"/>
      <c r="D7" s="15">
        <v>0</v>
      </c>
      <c r="E7" s="15"/>
      <c r="F7" s="15">
        <v>0</v>
      </c>
      <c r="G7" s="7"/>
      <c r="H7" s="15">
        <v>0</v>
      </c>
      <c r="I7" s="15"/>
      <c r="J7" s="15">
        <v>27676000</v>
      </c>
      <c r="K7" s="15"/>
      <c r="L7" s="15">
        <v>27676000</v>
      </c>
      <c r="M7" s="7"/>
      <c r="N7" s="15"/>
      <c r="O7" s="15"/>
      <c r="P7" s="15">
        <v>40837000</v>
      </c>
      <c r="Q7" s="15"/>
      <c r="R7" s="15">
        <v>40837000</v>
      </c>
    </row>
    <row r="8" spans="1:18" ht="15" x14ac:dyDescent="0.35">
      <c r="A8" s="7" t="s">
        <v>94</v>
      </c>
      <c r="B8" s="15">
        <v>0</v>
      </c>
      <c r="C8" s="15"/>
      <c r="D8" s="15">
        <v>63001000</v>
      </c>
      <c r="E8" s="15"/>
      <c r="F8" s="15">
        <v>63001000</v>
      </c>
      <c r="G8" s="7"/>
      <c r="H8" s="15">
        <v>0</v>
      </c>
      <c r="I8" s="15"/>
      <c r="J8" s="15">
        <v>3733000</v>
      </c>
      <c r="K8" s="15"/>
      <c r="L8" s="15">
        <v>3733000</v>
      </c>
      <c r="M8" s="7"/>
      <c r="N8" s="15"/>
      <c r="O8" s="15"/>
      <c r="P8" s="15">
        <v>5321000</v>
      </c>
      <c r="Q8" s="15"/>
      <c r="R8" s="15">
        <v>5321000</v>
      </c>
    </row>
    <row r="9" spans="1:18" ht="15" x14ac:dyDescent="0.35">
      <c r="A9" s="7" t="s">
        <v>95</v>
      </c>
      <c r="B9" s="14">
        <v>26071000</v>
      </c>
      <c r="C9" s="15"/>
      <c r="D9" s="14">
        <v>51722000</v>
      </c>
      <c r="E9" s="15"/>
      <c r="F9" s="14">
        <v>77793000</v>
      </c>
      <c r="G9" s="7"/>
      <c r="H9" s="14">
        <v>12197000</v>
      </c>
      <c r="I9" s="15"/>
      <c r="J9" s="14">
        <v>25680000</v>
      </c>
      <c r="K9" s="15"/>
      <c r="L9" s="14">
        <v>37877000</v>
      </c>
      <c r="M9" s="7"/>
      <c r="N9" s="14">
        <v>15992000</v>
      </c>
      <c r="O9" s="15"/>
      <c r="P9" s="14">
        <v>40041000</v>
      </c>
      <c r="Q9" s="15"/>
      <c r="R9" s="14">
        <v>56033000</v>
      </c>
    </row>
    <row r="10" spans="1:18" ht="15" x14ac:dyDescent="0.35">
      <c r="A10" s="7"/>
      <c r="B10" s="15"/>
      <c r="C10" s="15"/>
      <c r="D10" s="15"/>
      <c r="E10" s="15"/>
      <c r="F10" s="15"/>
      <c r="G10" s="7"/>
      <c r="H10" s="15"/>
      <c r="I10" s="15"/>
      <c r="J10" s="15"/>
      <c r="K10" s="15"/>
      <c r="L10" s="15"/>
      <c r="M10" s="7"/>
      <c r="N10" s="15"/>
      <c r="O10" s="15"/>
      <c r="P10" s="15"/>
      <c r="Q10" s="15"/>
      <c r="R10" s="15"/>
    </row>
    <row r="11" spans="1:18" ht="15" x14ac:dyDescent="0.35">
      <c r="A11" s="7" t="s">
        <v>96</v>
      </c>
      <c r="B11" s="15"/>
      <c r="C11" s="15"/>
      <c r="D11" s="15"/>
      <c r="E11" s="15"/>
      <c r="F11" s="15"/>
      <c r="G11" s="7"/>
      <c r="H11" s="15"/>
      <c r="I11" s="15"/>
      <c r="J11" s="15"/>
      <c r="K11" s="15"/>
      <c r="L11" s="15"/>
      <c r="M11" s="7"/>
      <c r="N11" s="15"/>
      <c r="O11" s="15"/>
      <c r="P11" s="15"/>
      <c r="Q11" s="15"/>
      <c r="R11" s="15"/>
    </row>
    <row r="12" spans="1:18" ht="15" x14ac:dyDescent="0.35">
      <c r="A12" s="7" t="s">
        <v>6</v>
      </c>
      <c r="B12" s="15">
        <v>15606000</v>
      </c>
      <c r="C12" s="15"/>
      <c r="D12" s="15">
        <v>-3292000</v>
      </c>
      <c r="E12" s="15"/>
      <c r="F12" s="15">
        <v>12314000</v>
      </c>
      <c r="G12" s="7"/>
      <c r="H12" s="15">
        <v>12282000</v>
      </c>
      <c r="I12" s="15"/>
      <c r="J12" s="15">
        <v>-1310000</v>
      </c>
      <c r="K12" s="15"/>
      <c r="L12" s="15">
        <v>10972000</v>
      </c>
      <c r="M12" s="7"/>
      <c r="N12" s="15">
        <v>10643000</v>
      </c>
      <c r="O12" s="15"/>
      <c r="P12" s="15">
        <v>-958000</v>
      </c>
      <c r="Q12" s="15"/>
      <c r="R12" s="15">
        <v>9685000</v>
      </c>
    </row>
    <row r="13" spans="1:18" ht="15" x14ac:dyDescent="0.35">
      <c r="A13" s="7" t="s">
        <v>7</v>
      </c>
      <c r="B13" s="15">
        <v>1896000</v>
      </c>
      <c r="C13" s="15"/>
      <c r="D13" s="15">
        <v>-2000</v>
      </c>
      <c r="E13" s="15"/>
      <c r="F13" s="15">
        <v>1894000</v>
      </c>
      <c r="G13" s="7"/>
      <c r="H13" s="15">
        <v>2864000</v>
      </c>
      <c r="I13" s="15"/>
      <c r="J13" s="15">
        <v>-113000</v>
      </c>
      <c r="K13" s="15"/>
      <c r="L13" s="15">
        <v>2751000</v>
      </c>
      <c r="M13" s="7"/>
      <c r="N13" s="15">
        <v>5307000</v>
      </c>
      <c r="O13" s="15"/>
      <c r="P13" s="15">
        <v>0</v>
      </c>
      <c r="Q13" s="15"/>
      <c r="R13" s="15">
        <v>5307000</v>
      </c>
    </row>
    <row r="14" spans="1:18" ht="15" x14ac:dyDescent="0.35">
      <c r="A14" s="7" t="s">
        <v>8</v>
      </c>
      <c r="B14" s="15">
        <v>435000</v>
      </c>
      <c r="C14" s="15"/>
      <c r="D14" s="15">
        <v>0</v>
      </c>
      <c r="E14" s="15"/>
      <c r="F14" s="15">
        <v>435000</v>
      </c>
      <c r="G14" s="7"/>
      <c r="H14" s="15">
        <v>1085000</v>
      </c>
      <c r="I14" s="15"/>
      <c r="J14" s="15">
        <v>1000</v>
      </c>
      <c r="K14" s="15"/>
      <c r="L14" s="15">
        <v>1086000</v>
      </c>
      <c r="M14" s="7"/>
      <c r="N14" s="15">
        <v>1536000</v>
      </c>
      <c r="O14" s="15"/>
      <c r="P14" s="15">
        <v>0</v>
      </c>
      <c r="Q14" s="15"/>
      <c r="R14" s="15">
        <v>1536000</v>
      </c>
    </row>
    <row r="15" spans="1:18" ht="15" x14ac:dyDescent="0.35">
      <c r="A15" s="7" t="s">
        <v>9</v>
      </c>
      <c r="B15" s="15">
        <v>176000</v>
      </c>
      <c r="C15" s="15"/>
      <c r="D15" s="15">
        <v>0</v>
      </c>
      <c r="E15" s="15"/>
      <c r="F15" s="15">
        <v>176000</v>
      </c>
      <c r="G15" s="7"/>
      <c r="H15" s="15">
        <v>149000</v>
      </c>
      <c r="I15" s="15"/>
      <c r="J15" s="15">
        <v>2000</v>
      </c>
      <c r="K15" s="15"/>
      <c r="L15" s="15">
        <v>151000</v>
      </c>
      <c r="M15" s="7"/>
      <c r="N15" s="15">
        <v>83000</v>
      </c>
      <c r="O15" s="15"/>
      <c r="P15" s="15">
        <v>0</v>
      </c>
      <c r="Q15" s="15"/>
      <c r="R15" s="15">
        <v>83000</v>
      </c>
    </row>
    <row r="16" spans="1:18" ht="15" x14ac:dyDescent="0.35">
      <c r="A16" s="7" t="s">
        <v>97</v>
      </c>
      <c r="B16" s="15">
        <v>0</v>
      </c>
      <c r="C16" s="15"/>
      <c r="D16" s="15">
        <v>0</v>
      </c>
      <c r="E16" s="15"/>
      <c r="F16" s="15">
        <v>0</v>
      </c>
      <c r="G16" s="7"/>
      <c r="H16" s="15">
        <v>0</v>
      </c>
      <c r="I16" s="15"/>
      <c r="J16" s="15">
        <v>44718000</v>
      </c>
      <c r="K16" s="15"/>
      <c r="L16" s="15">
        <v>44718000</v>
      </c>
      <c r="M16" s="7"/>
      <c r="N16" s="15"/>
      <c r="O16" s="15"/>
      <c r="P16" s="15">
        <v>55999000</v>
      </c>
      <c r="Q16" s="15"/>
      <c r="R16" s="15">
        <v>55999000</v>
      </c>
    </row>
    <row r="17" spans="1:18" ht="15" x14ac:dyDescent="0.35">
      <c r="A17" s="7" t="s">
        <v>98</v>
      </c>
      <c r="B17" s="15">
        <v>0</v>
      </c>
      <c r="C17" s="15"/>
      <c r="D17" s="15">
        <v>57743000</v>
      </c>
      <c r="E17" s="15"/>
      <c r="F17" s="15">
        <v>57743000</v>
      </c>
      <c r="G17" s="7"/>
      <c r="H17" s="15">
        <v>0</v>
      </c>
      <c r="I17" s="15"/>
      <c r="J17" s="15">
        <v>4509000</v>
      </c>
      <c r="K17" s="15"/>
      <c r="L17" s="15">
        <v>4509000</v>
      </c>
      <c r="M17" s="7"/>
      <c r="N17" s="15"/>
      <c r="O17" s="15"/>
      <c r="P17" s="15">
        <v>5532000</v>
      </c>
      <c r="Q17" s="15"/>
      <c r="R17" s="15">
        <v>5532000</v>
      </c>
    </row>
    <row r="18" spans="1:18" ht="15" x14ac:dyDescent="0.35">
      <c r="A18" s="7" t="s">
        <v>99</v>
      </c>
      <c r="B18" s="14">
        <v>18113000</v>
      </c>
      <c r="C18" s="15"/>
      <c r="D18" s="14">
        <v>54449000</v>
      </c>
      <c r="E18" s="15"/>
      <c r="F18" s="14">
        <v>72562000</v>
      </c>
      <c r="G18" s="7"/>
      <c r="H18" s="14">
        <v>16380000</v>
      </c>
      <c r="I18" s="15"/>
      <c r="J18" s="14">
        <v>47807000</v>
      </c>
      <c r="K18" s="15"/>
      <c r="L18" s="14">
        <v>64187000</v>
      </c>
      <c r="M18" s="7"/>
      <c r="N18" s="14">
        <v>17569000</v>
      </c>
      <c r="O18" s="15"/>
      <c r="P18" s="14">
        <v>60573000</v>
      </c>
      <c r="Q18" s="15"/>
      <c r="R18" s="14">
        <v>78142000</v>
      </c>
    </row>
    <row r="19" spans="1:18" ht="15" x14ac:dyDescent="0.35">
      <c r="A19" s="7"/>
      <c r="B19" s="15"/>
      <c r="C19" s="15"/>
      <c r="D19" s="15"/>
      <c r="E19" s="15"/>
      <c r="F19" s="15"/>
      <c r="G19" s="7"/>
      <c r="H19" s="15"/>
      <c r="I19" s="15"/>
      <c r="J19" s="15"/>
      <c r="K19" s="15"/>
      <c r="L19" s="15"/>
      <c r="M19" s="7"/>
      <c r="N19" s="15"/>
      <c r="O19" s="15"/>
      <c r="P19" s="15"/>
      <c r="Q19" s="15"/>
      <c r="R19" s="15"/>
    </row>
    <row r="20" spans="1:18" ht="15" x14ac:dyDescent="0.35">
      <c r="A20" s="7" t="s">
        <v>100</v>
      </c>
      <c r="B20" s="15">
        <v>0</v>
      </c>
      <c r="C20" s="15"/>
      <c r="D20" s="15">
        <v>0</v>
      </c>
      <c r="E20" s="15"/>
      <c r="F20" s="15">
        <v>0</v>
      </c>
      <c r="G20" s="7"/>
      <c r="H20" s="15">
        <v>0</v>
      </c>
      <c r="I20" s="15"/>
      <c r="J20" s="15">
        <v>0</v>
      </c>
      <c r="K20" s="15"/>
      <c r="L20" s="15">
        <v>0</v>
      </c>
      <c r="M20" s="7"/>
      <c r="N20" s="15">
        <v>0</v>
      </c>
      <c r="O20" s="15"/>
      <c r="P20" s="15">
        <v>0</v>
      </c>
      <c r="Q20" s="15"/>
      <c r="R20" s="15">
        <v>0</v>
      </c>
    </row>
    <row r="21" spans="1:18" ht="15" x14ac:dyDescent="0.35">
      <c r="A21" s="7"/>
      <c r="B21" s="15"/>
      <c r="C21" s="15"/>
      <c r="D21" s="15"/>
      <c r="E21" s="15"/>
      <c r="F21" s="15"/>
      <c r="G21" s="7"/>
      <c r="H21" s="15"/>
      <c r="I21" s="15"/>
      <c r="J21" s="15"/>
      <c r="K21" s="15"/>
      <c r="L21" s="15"/>
      <c r="M21" s="7"/>
      <c r="N21" s="15"/>
      <c r="O21" s="15"/>
      <c r="P21" s="15"/>
      <c r="Q21" s="15"/>
      <c r="R21" s="15"/>
    </row>
    <row r="22" spans="1:18" ht="15" x14ac:dyDescent="0.35">
      <c r="A22" s="7" t="s">
        <v>101</v>
      </c>
      <c r="B22" s="15">
        <v>-113000</v>
      </c>
      <c r="C22" s="15"/>
      <c r="D22" s="15">
        <v>2019000</v>
      </c>
      <c r="E22" s="15"/>
      <c r="F22" s="15">
        <v>1906000</v>
      </c>
      <c r="G22" s="7"/>
      <c r="H22" s="15">
        <v>23000</v>
      </c>
      <c r="I22" s="15"/>
      <c r="J22" s="15">
        <v>63000</v>
      </c>
      <c r="K22" s="15"/>
      <c r="L22" s="15">
        <v>86000</v>
      </c>
      <c r="M22" s="7"/>
      <c r="N22" s="15">
        <v>1653000</v>
      </c>
      <c r="O22" s="15"/>
      <c r="P22" s="15">
        <v>0</v>
      </c>
      <c r="Q22" s="15"/>
      <c r="R22" s="15">
        <v>1653000</v>
      </c>
    </row>
    <row r="23" spans="1:18" ht="15" x14ac:dyDescent="0.35">
      <c r="A23" s="7" t="s">
        <v>12</v>
      </c>
      <c r="B23" s="15">
        <v>0</v>
      </c>
      <c r="C23" s="15"/>
      <c r="D23" s="15">
        <v>0</v>
      </c>
      <c r="E23" s="15"/>
      <c r="F23" s="15">
        <v>0</v>
      </c>
      <c r="G23" s="7"/>
      <c r="H23" s="15">
        <v>0</v>
      </c>
      <c r="I23" s="15"/>
      <c r="J23" s="15">
        <v>0</v>
      </c>
      <c r="K23" s="15"/>
      <c r="L23" s="15">
        <v>0</v>
      </c>
      <c r="M23" s="7"/>
      <c r="N23" s="15">
        <v>0</v>
      </c>
      <c r="O23" s="15"/>
      <c r="P23" s="15">
        <v>0</v>
      </c>
      <c r="Q23" s="15"/>
      <c r="R23" s="15">
        <v>0</v>
      </c>
    </row>
    <row r="24" spans="1:18" ht="15" x14ac:dyDescent="0.35">
      <c r="A24" s="7" t="s">
        <v>13</v>
      </c>
      <c r="B24" s="15">
        <v>10000</v>
      </c>
      <c r="C24" s="15"/>
      <c r="D24" s="15">
        <v>0</v>
      </c>
      <c r="E24" s="15"/>
      <c r="F24" s="15">
        <v>10000</v>
      </c>
      <c r="G24" s="7"/>
      <c r="H24" s="15">
        <v>7000</v>
      </c>
      <c r="I24" s="15"/>
      <c r="J24" s="15">
        <v>0</v>
      </c>
      <c r="K24" s="15"/>
      <c r="L24" s="15">
        <v>7000</v>
      </c>
      <c r="M24" s="7"/>
      <c r="N24" s="15">
        <v>104000</v>
      </c>
      <c r="O24" s="15"/>
      <c r="P24" s="15">
        <v>-103000</v>
      </c>
      <c r="Q24" s="15"/>
      <c r="R24" s="15">
        <v>1000</v>
      </c>
    </row>
    <row r="25" spans="1:18" ht="15" x14ac:dyDescent="0.35">
      <c r="A25" s="7" t="s">
        <v>14</v>
      </c>
      <c r="B25" s="19">
        <v>-1294000</v>
      </c>
      <c r="C25" s="15"/>
      <c r="D25" s="19">
        <v>91000</v>
      </c>
      <c r="E25" s="15"/>
      <c r="F25" s="19">
        <v>-1203000</v>
      </c>
      <c r="G25" s="7"/>
      <c r="H25" s="19">
        <v>437000</v>
      </c>
      <c r="I25" s="15"/>
      <c r="J25" s="19">
        <v>235000</v>
      </c>
      <c r="K25" s="15"/>
      <c r="L25" s="19">
        <v>672000</v>
      </c>
      <c r="M25" s="7"/>
      <c r="N25" s="19">
        <v>-756000</v>
      </c>
      <c r="O25" s="15"/>
      <c r="P25" s="19">
        <v>44000</v>
      </c>
      <c r="Q25" s="15"/>
      <c r="R25" s="19">
        <v>-712000</v>
      </c>
    </row>
    <row r="26" spans="1:18" ht="15" x14ac:dyDescent="0.35">
      <c r="A26" s="7" t="s">
        <v>102</v>
      </c>
      <c r="B26" s="15">
        <v>6561000</v>
      </c>
      <c r="C26" s="15"/>
      <c r="D26" s="15">
        <v>-617000</v>
      </c>
      <c r="E26" s="15"/>
      <c r="F26" s="15">
        <v>5944000</v>
      </c>
      <c r="G26" s="7"/>
      <c r="H26" s="15">
        <v>-3716000</v>
      </c>
      <c r="I26" s="15"/>
      <c r="J26" s="15">
        <v>-21829000</v>
      </c>
      <c r="K26" s="15"/>
      <c r="L26" s="15">
        <v>-25545000</v>
      </c>
      <c r="M26" s="7"/>
      <c r="N26" s="15">
        <v>-576000</v>
      </c>
      <c r="O26" s="15"/>
      <c r="P26" s="15">
        <v>-20591000</v>
      </c>
      <c r="Q26" s="15"/>
      <c r="R26" s="15">
        <v>-21167000</v>
      </c>
    </row>
    <row r="27" spans="1:18" ht="15" x14ac:dyDescent="0.35">
      <c r="A27" s="7" t="s">
        <v>76</v>
      </c>
      <c r="B27" s="19">
        <v>0</v>
      </c>
      <c r="C27" s="15"/>
      <c r="D27" s="19">
        <v>0</v>
      </c>
      <c r="E27" s="15"/>
      <c r="F27" s="19">
        <v>0</v>
      </c>
      <c r="G27" s="7"/>
      <c r="H27" s="19">
        <v>0</v>
      </c>
      <c r="I27" s="15"/>
      <c r="J27" s="19">
        <v>0</v>
      </c>
      <c r="K27" s="15"/>
      <c r="L27" s="19">
        <v>0</v>
      </c>
      <c r="M27" s="7"/>
      <c r="N27" s="19">
        <v>0</v>
      </c>
      <c r="O27" s="15"/>
      <c r="P27" s="19">
        <v>0</v>
      </c>
      <c r="Q27" s="15"/>
      <c r="R27" s="19">
        <v>0</v>
      </c>
    </row>
    <row r="28" spans="1:18" ht="15" x14ac:dyDescent="0.35">
      <c r="A28" s="7" t="s">
        <v>103</v>
      </c>
      <c r="B28" s="15">
        <v>6561000</v>
      </c>
      <c r="C28" s="15"/>
      <c r="D28" s="15">
        <v>-617000</v>
      </c>
      <c r="E28" s="15"/>
      <c r="F28" s="15">
        <v>5944000</v>
      </c>
      <c r="G28" s="7"/>
      <c r="H28" s="15">
        <v>-3716000</v>
      </c>
      <c r="I28" s="15"/>
      <c r="J28" s="15">
        <v>-21829000</v>
      </c>
      <c r="K28" s="15"/>
      <c r="L28" s="15">
        <v>-25545000</v>
      </c>
      <c r="M28" s="7"/>
      <c r="N28" s="15">
        <v>-576000</v>
      </c>
      <c r="O28" s="15"/>
      <c r="P28" s="15">
        <v>-20591000</v>
      </c>
      <c r="Q28" s="15"/>
      <c r="R28" s="15">
        <v>-21167000</v>
      </c>
    </row>
    <row r="29" spans="1:18" ht="15" x14ac:dyDescent="0.35">
      <c r="A29" s="7" t="s">
        <v>104</v>
      </c>
      <c r="B29" s="15"/>
      <c r="C29" s="15"/>
      <c r="D29" s="15">
        <v>-523000</v>
      </c>
      <c r="E29" s="15"/>
      <c r="F29" s="15">
        <v>-523000</v>
      </c>
      <c r="G29" s="7"/>
      <c r="H29" s="15"/>
      <c r="I29" s="15"/>
      <c r="J29" s="15">
        <v>-20099000</v>
      </c>
      <c r="K29" s="15"/>
      <c r="L29" s="15">
        <v>-20099000</v>
      </c>
      <c r="M29" s="7"/>
      <c r="N29" s="15"/>
      <c r="O29" s="15"/>
      <c r="P29" s="15">
        <v>-20469000</v>
      </c>
      <c r="Q29" s="15"/>
      <c r="R29" s="15">
        <v>-20469000</v>
      </c>
    </row>
    <row r="30" spans="1:18" ht="15.6" thickBot="1" x14ac:dyDescent="0.4">
      <c r="A30" s="7" t="s">
        <v>105</v>
      </c>
      <c r="B30" s="38">
        <v>6561000</v>
      </c>
      <c r="C30" s="15"/>
      <c r="D30" s="38">
        <v>-94000</v>
      </c>
      <c r="E30" s="15"/>
      <c r="F30" s="38">
        <v>6467000</v>
      </c>
      <c r="G30" s="7"/>
      <c r="H30" s="38">
        <v>-3716000</v>
      </c>
      <c r="I30" s="15"/>
      <c r="J30" s="38">
        <v>-1730000</v>
      </c>
      <c r="K30" s="15"/>
      <c r="L30" s="38">
        <v>-5446000</v>
      </c>
      <c r="M30" s="7"/>
      <c r="N30" s="38">
        <v>-576000</v>
      </c>
      <c r="O30" s="15"/>
      <c r="P30" s="38">
        <v>-122000</v>
      </c>
      <c r="Q30" s="15"/>
      <c r="R30" s="38">
        <v>-698000</v>
      </c>
    </row>
    <row r="31" spans="1:18" ht="15.6" thickTop="1" x14ac:dyDescent="0.35">
      <c r="A31" s="7"/>
      <c r="B31" s="7"/>
      <c r="C31" s="7"/>
      <c r="D31" s="7"/>
      <c r="E31" s="7"/>
      <c r="F31" s="7"/>
      <c r="G31" s="7"/>
      <c r="H31" s="7"/>
      <c r="I31" s="7"/>
      <c r="J31" s="7"/>
      <c r="K31" s="7"/>
      <c r="L31" s="7"/>
      <c r="M31" s="7"/>
      <c r="N31" s="7"/>
      <c r="O31" s="7"/>
      <c r="P31" s="7"/>
      <c r="Q31" s="7"/>
      <c r="R31" s="7"/>
    </row>
    <row r="32" spans="1:18" ht="15" x14ac:dyDescent="0.35">
      <c r="A32" s="7" t="s">
        <v>106</v>
      </c>
      <c r="B32" s="23">
        <v>0.27082383641002089</v>
      </c>
      <c r="C32" s="7"/>
      <c r="D32" s="7"/>
      <c r="E32" s="7"/>
      <c r="F32" s="23">
        <v>0.266943720479135</v>
      </c>
      <c r="G32" s="7"/>
      <c r="H32" s="23">
        <v>-0.14769479686445294</v>
      </c>
      <c r="I32" s="7"/>
      <c r="J32" s="7"/>
      <c r="K32" s="7"/>
      <c r="L32" s="23">
        <v>-0.21645475342406101</v>
      </c>
      <c r="M32" s="7"/>
      <c r="N32" s="23">
        <v>-3.231597845601436E-2</v>
      </c>
      <c r="O32" s="7"/>
      <c r="P32" s="7"/>
      <c r="Q32" s="7"/>
      <c r="R32" s="23">
        <v>-3.916068222621185E-2</v>
      </c>
    </row>
    <row r="33" spans="1:18" ht="15" x14ac:dyDescent="0.35">
      <c r="A33" s="7" t="s">
        <v>107</v>
      </c>
      <c r="B33" s="23">
        <v>0.22707191426912365</v>
      </c>
      <c r="C33" s="7"/>
      <c r="D33" s="7"/>
      <c r="E33" s="7"/>
      <c r="F33" s="23">
        <v>0.22381863581442199</v>
      </c>
      <c r="G33" s="7"/>
      <c r="H33" s="23">
        <v>-0.14769479686445294</v>
      </c>
      <c r="I33" s="7"/>
      <c r="J33" s="7"/>
      <c r="K33" s="7"/>
      <c r="L33" s="23">
        <v>-0.21645475342406101</v>
      </c>
      <c r="M33" s="7"/>
      <c r="N33" s="23">
        <v>-3.231597845601436E-2</v>
      </c>
      <c r="O33" s="7"/>
      <c r="P33" s="7"/>
      <c r="Q33" s="7"/>
      <c r="R33" s="23">
        <v>-3.916068222621185E-2</v>
      </c>
    </row>
    <row r="34" spans="1:18" ht="15" x14ac:dyDescent="0.35">
      <c r="A34" s="7" t="s">
        <v>108</v>
      </c>
      <c r="B34" s="7"/>
      <c r="C34" s="7"/>
      <c r="D34" s="7"/>
      <c r="E34" s="7"/>
      <c r="F34" s="7"/>
      <c r="G34" s="7"/>
      <c r="H34" s="7"/>
      <c r="I34" s="7"/>
      <c r="J34" s="7"/>
      <c r="K34" s="7"/>
      <c r="L34" s="7"/>
      <c r="M34" s="7"/>
      <c r="N34" s="7"/>
      <c r="O34" s="7"/>
      <c r="P34" s="7"/>
      <c r="Q34" s="7"/>
      <c r="R34" s="7"/>
    </row>
    <row r="35" spans="1:18" ht="15" x14ac:dyDescent="0.35">
      <c r="A35" s="7" t="s">
        <v>19</v>
      </c>
      <c r="B35" s="15">
        <v>24226080.27037473</v>
      </c>
      <c r="C35" s="7"/>
      <c r="D35" s="30"/>
      <c r="E35" s="7"/>
      <c r="F35" s="30">
        <v>24226080.27037473</v>
      </c>
      <c r="G35" s="7"/>
      <c r="H35" s="15">
        <v>25159992.625944454</v>
      </c>
      <c r="I35" s="7"/>
      <c r="J35" s="30"/>
      <c r="K35" s="7"/>
      <c r="L35" s="30">
        <v>25159992.625944454</v>
      </c>
      <c r="M35" s="7"/>
      <c r="N35" s="15">
        <v>17824000</v>
      </c>
      <c r="O35" s="7"/>
      <c r="P35" s="30"/>
      <c r="Q35" s="7"/>
      <c r="R35" s="30">
        <v>17824000</v>
      </c>
    </row>
    <row r="36" spans="1:18" ht="15" x14ac:dyDescent="0.35">
      <c r="A36" s="7" t="s">
        <v>20</v>
      </c>
      <c r="B36" s="15">
        <v>28893930.018240653</v>
      </c>
      <c r="C36" s="7"/>
      <c r="D36" s="7"/>
      <c r="E36" s="7"/>
      <c r="F36" s="30">
        <v>28893930.018240653</v>
      </c>
      <c r="G36" s="7"/>
      <c r="H36" s="15">
        <v>25159992.625944454</v>
      </c>
      <c r="I36" s="7"/>
      <c r="J36" s="7"/>
      <c r="K36" s="7"/>
      <c r="L36" s="30">
        <v>25159992.625944454</v>
      </c>
      <c r="M36" s="7"/>
      <c r="N36" s="15">
        <v>17824000</v>
      </c>
      <c r="O36" s="7"/>
      <c r="P36" s="7"/>
      <c r="Q36" s="7"/>
      <c r="R36" s="30">
        <v>17824000</v>
      </c>
    </row>
    <row r="37" spans="1:18" ht="15" x14ac:dyDescent="0.35">
      <c r="A37" s="7"/>
      <c r="B37" s="7"/>
      <c r="C37" s="7"/>
      <c r="D37" s="7"/>
      <c r="E37" s="7"/>
      <c r="F37" s="7"/>
      <c r="G37" s="7"/>
      <c r="H37" s="7"/>
      <c r="I37" s="7"/>
      <c r="J37" s="7"/>
      <c r="K37" s="7"/>
      <c r="L37" s="7"/>
      <c r="M37" s="7"/>
      <c r="N37" s="7"/>
      <c r="O37" s="7"/>
      <c r="P37" s="7"/>
      <c r="Q37" s="7"/>
      <c r="R37" s="7"/>
    </row>
    <row r="38" spans="1:18" ht="36" customHeight="1" x14ac:dyDescent="0.3">
      <c r="A38" s="77" t="s">
        <v>110</v>
      </c>
      <c r="B38" s="77"/>
      <c r="C38" s="77"/>
      <c r="D38" s="77"/>
      <c r="E38" s="77"/>
      <c r="F38" s="77"/>
      <c r="G38" s="77"/>
      <c r="H38" s="77"/>
      <c r="I38" s="77"/>
      <c r="J38" s="77"/>
      <c r="K38" s="77"/>
      <c r="L38" s="77"/>
      <c r="M38" s="77"/>
      <c r="N38" s="77"/>
      <c r="O38" s="77"/>
      <c r="P38" s="77"/>
      <c r="Q38" s="77"/>
      <c r="R38" s="77"/>
    </row>
  </sheetData>
  <mergeCells count="4">
    <mergeCell ref="B1:F1"/>
    <mergeCell ref="H1:L1"/>
    <mergeCell ref="N1:R1"/>
    <mergeCell ref="A38:R38"/>
  </mergeCells>
  <conditionalFormatting sqref="A4:R9 A12:R18 A22:R30 A32:R33 A35:R36">
    <cfRule type="expression" dxfId="6" priority="1">
      <formula>MOD(ROW(),2)=0</formula>
    </cfRule>
  </conditionalFormatting>
  <pageMargins left="0.7" right="0.7" top="0.75" bottom="0.75" header="0.3" footer="0.3"/>
  <pageSetup scale="7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B65B-253A-0848-8995-22FF4102AA83}">
  <sheetPr>
    <tabColor rgb="FF2C6B73"/>
    <pageSetUpPr fitToPage="1"/>
  </sheetPr>
  <dimension ref="A1:L38"/>
  <sheetViews>
    <sheetView showGridLines="0" view="pageBreakPreview" zoomScaleNormal="100" zoomScaleSheetLayoutView="100" workbookViewId="0">
      <selection activeCell="D2" sqref="D2"/>
    </sheetView>
  </sheetViews>
  <sheetFormatPr defaultColWidth="10.88671875" defaultRowHeight="14.4" x14ac:dyDescent="0.3"/>
  <cols>
    <col min="1" max="1" width="45.6640625" bestFit="1" customWidth="1"/>
    <col min="2" max="2" width="12.33203125" customWidth="1"/>
    <col min="3" max="3" width="2.44140625" customWidth="1"/>
    <col min="4" max="4" width="12.33203125" customWidth="1"/>
    <col min="5" max="5" width="2.44140625" customWidth="1"/>
    <col min="6" max="6" width="12.33203125" customWidth="1"/>
    <col min="7" max="7" width="2.44140625" customWidth="1"/>
    <col min="8" max="8" width="12.33203125" customWidth="1"/>
    <col min="9" max="9" width="2.44140625" customWidth="1"/>
    <col min="10" max="10" width="12.33203125" customWidth="1"/>
    <col min="11" max="11" width="2.44140625" customWidth="1"/>
    <col min="12" max="12" width="13.6640625" customWidth="1"/>
  </cols>
  <sheetData>
    <row r="1" spans="1:12" ht="15" x14ac:dyDescent="0.35">
      <c r="A1" s="7"/>
      <c r="B1" s="76" t="s">
        <v>89</v>
      </c>
      <c r="C1" s="76"/>
      <c r="D1" s="76"/>
      <c r="E1" s="76"/>
      <c r="F1" s="76"/>
      <c r="G1" s="7"/>
      <c r="H1" s="76" t="s">
        <v>90</v>
      </c>
      <c r="I1" s="76"/>
      <c r="J1" s="76"/>
      <c r="K1" s="76"/>
      <c r="L1" s="76"/>
    </row>
    <row r="2" spans="1:12" ht="32.1" customHeight="1" x14ac:dyDescent="0.35">
      <c r="A2" s="7"/>
      <c r="B2" s="35" t="s">
        <v>59</v>
      </c>
      <c r="C2" s="7"/>
      <c r="D2" s="37" t="s">
        <v>60</v>
      </c>
      <c r="E2" s="7"/>
      <c r="F2" s="35" t="s">
        <v>61</v>
      </c>
      <c r="G2" s="7"/>
      <c r="H2" s="35" t="s">
        <v>59</v>
      </c>
      <c r="I2" s="7"/>
      <c r="J2" s="37" t="s">
        <v>60</v>
      </c>
      <c r="K2" s="7"/>
      <c r="L2" s="35" t="s">
        <v>61</v>
      </c>
    </row>
    <row r="3" spans="1:12" ht="15" x14ac:dyDescent="0.35">
      <c r="A3" s="7" t="s">
        <v>91</v>
      </c>
      <c r="B3" s="7"/>
      <c r="C3" s="7"/>
      <c r="D3" s="7"/>
      <c r="E3" s="7"/>
      <c r="F3" s="7"/>
      <c r="G3" s="7"/>
      <c r="H3" s="7"/>
      <c r="I3" s="7"/>
      <c r="J3" s="7"/>
      <c r="K3" s="7"/>
      <c r="L3" s="7"/>
    </row>
    <row r="4" spans="1:12" ht="15" x14ac:dyDescent="0.35">
      <c r="A4" s="7" t="s">
        <v>92</v>
      </c>
      <c r="B4" s="15">
        <v>21575000</v>
      </c>
      <c r="C4" s="15"/>
      <c r="D4" s="15">
        <v>-6231000</v>
      </c>
      <c r="E4" s="15"/>
      <c r="F4" s="15">
        <v>15344000</v>
      </c>
      <c r="G4" s="7"/>
      <c r="H4" s="15">
        <v>16982000</v>
      </c>
      <c r="I4" s="24"/>
      <c r="J4" s="24">
        <v>-6411000</v>
      </c>
      <c r="K4" s="24"/>
      <c r="L4" s="15">
        <v>10571000</v>
      </c>
    </row>
    <row r="5" spans="1:12" ht="15" x14ac:dyDescent="0.35">
      <c r="A5" s="7" t="s">
        <v>3</v>
      </c>
      <c r="B5" s="15">
        <v>2543000</v>
      </c>
      <c r="C5" s="15"/>
      <c r="D5" s="15">
        <v>0</v>
      </c>
      <c r="E5" s="15"/>
      <c r="F5" s="15">
        <v>2543000</v>
      </c>
      <c r="G5" s="7"/>
      <c r="H5" s="15">
        <v>3656000</v>
      </c>
      <c r="I5" s="24"/>
      <c r="J5" s="24">
        <v>-17000</v>
      </c>
      <c r="K5" s="24"/>
      <c r="L5" s="15">
        <v>3639000</v>
      </c>
    </row>
    <row r="6" spans="1:12" ht="15" x14ac:dyDescent="0.35">
      <c r="A6" s="7" t="s">
        <v>93</v>
      </c>
      <c r="B6" s="15"/>
      <c r="C6" s="15"/>
      <c r="D6" s="15">
        <v>59564000</v>
      </c>
      <c r="E6" s="15"/>
      <c r="F6" s="15">
        <v>59564000</v>
      </c>
      <c r="G6" s="7"/>
      <c r="H6" s="15">
        <v>0</v>
      </c>
      <c r="I6" s="24"/>
      <c r="J6" s="24">
        <v>68905000</v>
      </c>
      <c r="K6" s="24"/>
      <c r="L6" s="15">
        <v>68905000</v>
      </c>
    </row>
    <row r="7" spans="1:12" ht="15" x14ac:dyDescent="0.35">
      <c r="A7" s="7" t="s">
        <v>94</v>
      </c>
      <c r="B7" s="15"/>
      <c r="C7" s="15"/>
      <c r="D7" s="15">
        <v>6505000</v>
      </c>
      <c r="E7" s="15"/>
      <c r="F7" s="15">
        <v>6505000</v>
      </c>
      <c r="G7" s="7"/>
      <c r="H7" s="15">
        <v>0</v>
      </c>
      <c r="I7" s="24"/>
      <c r="J7" s="24">
        <v>7822000</v>
      </c>
      <c r="K7" s="24"/>
      <c r="L7" s="15">
        <v>7822000</v>
      </c>
    </row>
    <row r="8" spans="1:12" ht="15" x14ac:dyDescent="0.35">
      <c r="A8" s="7" t="s">
        <v>95</v>
      </c>
      <c r="B8" s="14">
        <v>24118000</v>
      </c>
      <c r="C8" s="15"/>
      <c r="D8" s="14">
        <v>59838000</v>
      </c>
      <c r="E8" s="15"/>
      <c r="F8" s="14">
        <v>83956000</v>
      </c>
      <c r="G8" s="7"/>
      <c r="H8" s="14">
        <v>20638000</v>
      </c>
      <c r="I8" s="24"/>
      <c r="J8" s="27">
        <v>70299000</v>
      </c>
      <c r="K8" s="24"/>
      <c r="L8" s="14">
        <v>90937000</v>
      </c>
    </row>
    <row r="9" spans="1:12" ht="15" x14ac:dyDescent="0.35">
      <c r="A9" s="7"/>
      <c r="B9" s="15"/>
      <c r="C9" s="15"/>
      <c r="D9" s="15"/>
      <c r="E9" s="15"/>
      <c r="F9" s="15"/>
      <c r="G9" s="7"/>
      <c r="H9" s="15"/>
      <c r="I9" s="24"/>
      <c r="J9" s="24"/>
      <c r="K9" s="24"/>
      <c r="L9" s="15"/>
    </row>
    <row r="10" spans="1:12" ht="15" x14ac:dyDescent="0.35">
      <c r="A10" s="7" t="s">
        <v>96</v>
      </c>
      <c r="B10" s="15"/>
      <c r="C10" s="15"/>
      <c r="D10" s="15"/>
      <c r="E10" s="15"/>
      <c r="F10" s="15"/>
      <c r="G10" s="7"/>
      <c r="H10" s="15"/>
      <c r="I10" s="24"/>
      <c r="J10" s="24"/>
      <c r="K10" s="24"/>
      <c r="L10" s="15"/>
    </row>
    <row r="11" spans="1:12" ht="15" x14ac:dyDescent="0.35">
      <c r="A11" s="7" t="s">
        <v>6</v>
      </c>
      <c r="B11" s="15">
        <v>14609000</v>
      </c>
      <c r="C11" s="15"/>
      <c r="D11" s="15">
        <v>0</v>
      </c>
      <c r="E11" s="15"/>
      <c r="F11" s="15">
        <v>14609000</v>
      </c>
      <c r="G11" s="7"/>
      <c r="H11" s="15">
        <v>21808000</v>
      </c>
      <c r="I11" s="24"/>
      <c r="J11" s="24">
        <v>-497000</v>
      </c>
      <c r="K11" s="24"/>
      <c r="L11" s="15">
        <v>21311000</v>
      </c>
    </row>
    <row r="12" spans="1:12" ht="15" x14ac:dyDescent="0.35">
      <c r="A12" s="7" t="s">
        <v>7</v>
      </c>
      <c r="B12" s="15">
        <v>6742000</v>
      </c>
      <c r="C12" s="15"/>
      <c r="D12" s="15">
        <v>-63000</v>
      </c>
      <c r="E12" s="15"/>
      <c r="F12" s="15">
        <v>6679000</v>
      </c>
      <c r="G12" s="7"/>
      <c r="H12" s="15">
        <v>6807000</v>
      </c>
      <c r="I12" s="24"/>
      <c r="J12" s="24">
        <v>-37000</v>
      </c>
      <c r="K12" s="24"/>
      <c r="L12" s="15">
        <v>6770000</v>
      </c>
    </row>
    <row r="13" spans="1:12" ht="15" x14ac:dyDescent="0.35">
      <c r="A13" s="7" t="s">
        <v>8</v>
      </c>
      <c r="B13" s="15">
        <v>1179000</v>
      </c>
      <c r="C13" s="15"/>
      <c r="D13" s="15">
        <v>0</v>
      </c>
      <c r="E13" s="15"/>
      <c r="F13" s="15">
        <v>1179000</v>
      </c>
      <c r="G13" s="7"/>
      <c r="H13" s="15">
        <v>1053000</v>
      </c>
      <c r="I13" s="24"/>
      <c r="J13" s="24">
        <v>-1000</v>
      </c>
      <c r="K13" s="24"/>
      <c r="L13" s="15">
        <v>1052000</v>
      </c>
    </row>
    <row r="14" spans="1:12" ht="15" x14ac:dyDescent="0.35">
      <c r="A14" s="7" t="s">
        <v>9</v>
      </c>
      <c r="B14" s="15">
        <v>44000</v>
      </c>
      <c r="C14" s="15"/>
      <c r="D14" s="15">
        <v>14000</v>
      </c>
      <c r="E14" s="15"/>
      <c r="F14" s="15">
        <v>58000</v>
      </c>
      <c r="G14" s="7"/>
      <c r="H14" s="15">
        <v>551000</v>
      </c>
      <c r="I14" s="24"/>
      <c r="J14" s="24">
        <v>-1000</v>
      </c>
      <c r="K14" s="24"/>
      <c r="L14" s="15">
        <v>550000</v>
      </c>
    </row>
    <row r="15" spans="1:12" ht="15" x14ac:dyDescent="0.35">
      <c r="A15" s="7" t="s">
        <v>97</v>
      </c>
      <c r="B15" s="15"/>
      <c r="C15" s="15"/>
      <c r="D15" s="15">
        <v>60667000</v>
      </c>
      <c r="E15" s="15"/>
      <c r="F15" s="15">
        <v>60667000</v>
      </c>
      <c r="G15" s="7"/>
      <c r="H15" s="15">
        <v>0</v>
      </c>
      <c r="I15" s="24"/>
      <c r="J15" s="24">
        <v>80669000</v>
      </c>
      <c r="K15" s="24"/>
      <c r="L15" s="15">
        <v>80669000</v>
      </c>
    </row>
    <row r="16" spans="1:12" ht="15" x14ac:dyDescent="0.35">
      <c r="A16" s="7" t="s">
        <v>98</v>
      </c>
      <c r="B16" s="15"/>
      <c r="C16" s="15"/>
      <c r="D16" s="15">
        <v>9213000</v>
      </c>
      <c r="E16" s="15"/>
      <c r="F16" s="15">
        <v>9213000</v>
      </c>
      <c r="G16" s="7"/>
      <c r="H16" s="15">
        <v>0</v>
      </c>
      <c r="I16" s="24"/>
      <c r="J16" s="24">
        <v>9162000</v>
      </c>
      <c r="K16" s="24"/>
      <c r="L16" s="15">
        <v>9162000</v>
      </c>
    </row>
    <row r="17" spans="1:12" ht="15" x14ac:dyDescent="0.35">
      <c r="A17" s="7" t="s">
        <v>99</v>
      </c>
      <c r="B17" s="14">
        <v>22574000</v>
      </c>
      <c r="C17" s="15"/>
      <c r="D17" s="14">
        <v>69831000</v>
      </c>
      <c r="E17" s="15"/>
      <c r="F17" s="14">
        <v>92405000</v>
      </c>
      <c r="G17" s="7"/>
      <c r="H17" s="14">
        <v>30219000</v>
      </c>
      <c r="I17" s="24"/>
      <c r="J17" s="27">
        <v>89295000</v>
      </c>
      <c r="K17" s="24"/>
      <c r="L17" s="14">
        <v>119514000</v>
      </c>
    </row>
    <row r="18" spans="1:12" ht="15" x14ac:dyDescent="0.35">
      <c r="A18" s="7"/>
      <c r="B18" s="15"/>
      <c r="C18" s="15"/>
      <c r="D18" s="15"/>
      <c r="E18" s="15"/>
      <c r="F18" s="15"/>
      <c r="G18" s="7"/>
      <c r="H18" s="15"/>
      <c r="I18" s="24"/>
      <c r="J18" s="24"/>
      <c r="K18" s="24"/>
      <c r="L18" s="15"/>
    </row>
    <row r="19" spans="1:12" ht="15" x14ac:dyDescent="0.35">
      <c r="A19" s="7" t="s">
        <v>100</v>
      </c>
      <c r="B19" s="15">
        <v>0</v>
      </c>
      <c r="C19" s="15"/>
      <c r="D19" s="15">
        <v>21530000</v>
      </c>
      <c r="E19" s="15"/>
      <c r="F19" s="15">
        <v>21530000</v>
      </c>
      <c r="G19" s="7"/>
      <c r="H19" s="15">
        <v>0</v>
      </c>
      <c r="I19" s="24"/>
      <c r="J19" s="24">
        <v>4976000</v>
      </c>
      <c r="K19" s="24"/>
      <c r="L19" s="15">
        <v>4976000</v>
      </c>
    </row>
    <row r="20" spans="1:12" ht="15" x14ac:dyDescent="0.35">
      <c r="A20" s="7"/>
      <c r="B20" s="15"/>
      <c r="C20" s="15"/>
      <c r="D20" s="15"/>
      <c r="E20" s="15"/>
      <c r="F20" s="15"/>
      <c r="G20" s="7"/>
      <c r="H20" s="15"/>
      <c r="I20" s="24"/>
      <c r="J20" s="24"/>
      <c r="K20" s="24"/>
      <c r="L20" s="15">
        <v>0</v>
      </c>
    </row>
    <row r="21" spans="1:12" ht="15" x14ac:dyDescent="0.35">
      <c r="A21" s="7" t="s">
        <v>101</v>
      </c>
      <c r="B21" s="15">
        <v>256000</v>
      </c>
      <c r="C21" s="15"/>
      <c r="D21" s="15">
        <v>70000</v>
      </c>
      <c r="E21" s="15"/>
      <c r="F21" s="15">
        <v>326000</v>
      </c>
      <c r="G21" s="7"/>
      <c r="H21" s="15">
        <v>649000</v>
      </c>
      <c r="I21" s="24"/>
      <c r="J21" s="24">
        <v>-275000</v>
      </c>
      <c r="K21" s="24"/>
      <c r="L21" s="15">
        <v>374000</v>
      </c>
    </row>
    <row r="22" spans="1:12" ht="15" x14ac:dyDescent="0.35">
      <c r="A22" s="7" t="s">
        <v>12</v>
      </c>
      <c r="B22" s="15">
        <v>1421000</v>
      </c>
      <c r="C22" s="15"/>
      <c r="D22" s="15">
        <v>0</v>
      </c>
      <c r="E22" s="15"/>
      <c r="F22" s="15">
        <v>1421000</v>
      </c>
      <c r="G22" s="7"/>
      <c r="H22" s="15">
        <v>0</v>
      </c>
      <c r="I22" s="24"/>
      <c r="J22" s="24">
        <v>0</v>
      </c>
      <c r="K22" s="24"/>
      <c r="L22" s="15">
        <v>0</v>
      </c>
    </row>
    <row r="23" spans="1:12" ht="15" x14ac:dyDescent="0.35">
      <c r="A23" s="7" t="s">
        <v>13</v>
      </c>
      <c r="B23" s="15">
        <v>177000</v>
      </c>
      <c r="C23" s="15"/>
      <c r="D23" s="15">
        <v>1000</v>
      </c>
      <c r="E23" s="15"/>
      <c r="F23" s="15">
        <v>178000</v>
      </c>
      <c r="G23" s="7"/>
      <c r="H23" s="15">
        <v>1863000</v>
      </c>
      <c r="I23" s="24"/>
      <c r="J23" s="24">
        <v>-1513000</v>
      </c>
      <c r="K23" s="24"/>
      <c r="L23" s="15">
        <v>350000</v>
      </c>
    </row>
    <row r="24" spans="1:12" ht="15" x14ac:dyDescent="0.35">
      <c r="A24" s="7" t="s">
        <v>14</v>
      </c>
      <c r="B24" s="19">
        <v>-1056000</v>
      </c>
      <c r="C24" s="15"/>
      <c r="D24" s="19">
        <v>1000</v>
      </c>
      <c r="E24" s="15"/>
      <c r="F24" s="19">
        <v>-1055000</v>
      </c>
      <c r="G24" s="7"/>
      <c r="H24" s="19">
        <v>-4716000</v>
      </c>
      <c r="I24" s="24"/>
      <c r="J24" s="28">
        <v>-1000</v>
      </c>
      <c r="K24" s="24"/>
      <c r="L24" s="19">
        <v>-4717000</v>
      </c>
    </row>
    <row r="25" spans="1:12" ht="15" x14ac:dyDescent="0.35">
      <c r="A25" s="7" t="s">
        <v>102</v>
      </c>
      <c r="B25" s="15">
        <v>2342000</v>
      </c>
      <c r="C25" s="15"/>
      <c r="D25" s="15">
        <v>11609000</v>
      </c>
      <c r="E25" s="15"/>
      <c r="F25" s="15">
        <v>13951000</v>
      </c>
      <c r="G25" s="7"/>
      <c r="H25" s="15">
        <v>-11785000</v>
      </c>
      <c r="I25" s="24"/>
      <c r="J25" s="15">
        <v>-15809000</v>
      </c>
      <c r="K25" s="24"/>
      <c r="L25" s="15">
        <v>-27594000</v>
      </c>
    </row>
    <row r="26" spans="1:12" ht="15" x14ac:dyDescent="0.35">
      <c r="A26" s="7" t="s">
        <v>76</v>
      </c>
      <c r="B26" s="19">
        <v>0</v>
      </c>
      <c r="C26" s="15"/>
      <c r="D26" s="19">
        <v>0</v>
      </c>
      <c r="E26" s="15"/>
      <c r="F26" s="19">
        <v>0</v>
      </c>
      <c r="G26" s="7"/>
      <c r="H26" s="19">
        <v>0</v>
      </c>
      <c r="I26" s="24"/>
      <c r="J26" s="28">
        <v>0</v>
      </c>
      <c r="K26" s="24"/>
      <c r="L26" s="19">
        <v>0</v>
      </c>
    </row>
    <row r="27" spans="1:12" ht="15" x14ac:dyDescent="0.35">
      <c r="A27" s="7" t="s">
        <v>103</v>
      </c>
      <c r="B27" s="15">
        <v>2342000</v>
      </c>
      <c r="C27" s="15"/>
      <c r="D27" s="15">
        <v>11609000</v>
      </c>
      <c r="E27" s="15"/>
      <c r="F27" s="15">
        <v>13951000</v>
      </c>
      <c r="G27" s="7"/>
      <c r="H27" s="15">
        <v>-11785000</v>
      </c>
      <c r="I27" s="24"/>
      <c r="J27" s="24">
        <v>-15809000</v>
      </c>
      <c r="K27" s="24"/>
      <c r="L27" s="15">
        <v>-27594000</v>
      </c>
    </row>
    <row r="28" spans="1:12" ht="15" x14ac:dyDescent="0.35">
      <c r="A28" s="7" t="s">
        <v>104</v>
      </c>
      <c r="B28" s="15"/>
      <c r="C28" s="15"/>
      <c r="D28" s="15">
        <v>11931000</v>
      </c>
      <c r="E28" s="15"/>
      <c r="F28" s="15">
        <v>11931000</v>
      </c>
      <c r="G28" s="7"/>
      <c r="H28" s="15"/>
      <c r="I28" s="24"/>
      <c r="J28" s="24">
        <v>-14891000</v>
      </c>
      <c r="K28" s="24"/>
      <c r="L28" s="15">
        <v>-14891000</v>
      </c>
    </row>
    <row r="29" spans="1:12" ht="15.6" thickBot="1" x14ac:dyDescent="0.4">
      <c r="A29" s="7" t="s">
        <v>105</v>
      </c>
      <c r="B29" s="38">
        <v>2342000</v>
      </c>
      <c r="C29" s="15"/>
      <c r="D29" s="38">
        <v>-322000</v>
      </c>
      <c r="E29" s="15"/>
      <c r="F29" s="38">
        <v>2020000</v>
      </c>
      <c r="G29" s="7"/>
      <c r="H29" s="38">
        <v>-11785000</v>
      </c>
      <c r="I29" s="24"/>
      <c r="J29" s="33">
        <v>-918000</v>
      </c>
      <c r="K29" s="24"/>
      <c r="L29" s="38">
        <v>-12703000</v>
      </c>
    </row>
    <row r="30" spans="1:12" ht="15.6" thickTop="1" x14ac:dyDescent="0.35">
      <c r="A30" s="7"/>
      <c r="B30" s="7"/>
      <c r="C30" s="7"/>
      <c r="D30" s="7"/>
      <c r="E30" s="7"/>
      <c r="F30" s="7"/>
      <c r="G30" s="7"/>
      <c r="H30" s="7"/>
      <c r="I30" s="7"/>
      <c r="J30" s="7"/>
      <c r="K30" s="7"/>
      <c r="L30" s="7"/>
    </row>
    <row r="31" spans="1:12" ht="15" x14ac:dyDescent="0.35">
      <c r="A31" s="7" t="s">
        <v>106</v>
      </c>
      <c r="B31" s="23">
        <v>0.13008942953952118</v>
      </c>
      <c r="C31" s="7"/>
      <c r="D31" s="7"/>
      <c r="E31" s="7"/>
      <c r="F31" s="23">
        <v>0.11220352163528301</v>
      </c>
      <c r="G31" s="7"/>
      <c r="H31" s="23">
        <v>-0.58669786429033699</v>
      </c>
      <c r="I31" s="7"/>
      <c r="J31" s="7"/>
      <c r="K31" s="7"/>
      <c r="L31" s="23">
        <v>-0.63239906407128987</v>
      </c>
    </row>
    <row r="32" spans="1:12" ht="15" x14ac:dyDescent="0.35">
      <c r="A32" s="7" t="s">
        <v>107</v>
      </c>
      <c r="B32" s="23">
        <v>0.11815154878417919</v>
      </c>
      <c r="C32" s="7"/>
      <c r="D32" s="7"/>
      <c r="E32" s="7"/>
      <c r="F32" s="23">
        <v>0.11</v>
      </c>
      <c r="G32" s="7"/>
      <c r="H32" s="23">
        <v>-0.58669786429033699</v>
      </c>
      <c r="I32" s="7"/>
      <c r="J32" s="7"/>
      <c r="K32" s="7"/>
      <c r="L32" s="23">
        <v>-0.63239906407128987</v>
      </c>
    </row>
    <row r="33" spans="1:12" ht="15" x14ac:dyDescent="0.35">
      <c r="A33" s="7" t="s">
        <v>108</v>
      </c>
      <c r="B33" s="7"/>
      <c r="C33" s="7"/>
      <c r="D33" s="7"/>
      <c r="E33" s="7"/>
      <c r="F33" s="7"/>
      <c r="G33" s="7"/>
      <c r="H33" s="7"/>
      <c r="I33" s="7"/>
      <c r="J33" s="7"/>
      <c r="K33" s="7"/>
      <c r="L33" s="7"/>
    </row>
    <row r="34" spans="1:12" ht="15" x14ac:dyDescent="0.35">
      <c r="A34" s="7" t="s">
        <v>19</v>
      </c>
      <c r="B34" s="15">
        <v>18003000</v>
      </c>
      <c r="C34" s="7"/>
      <c r="D34" s="30"/>
      <c r="E34" s="7"/>
      <c r="F34" s="30">
        <v>18003000</v>
      </c>
      <c r="G34" s="7"/>
      <c r="H34" s="15">
        <v>20087000</v>
      </c>
      <c r="I34" s="7"/>
      <c r="J34" s="30"/>
      <c r="K34" s="7"/>
      <c r="L34" s="30">
        <v>20087000</v>
      </c>
    </row>
    <row r="35" spans="1:12" ht="15" x14ac:dyDescent="0.35">
      <c r="A35" s="7" t="s">
        <v>20</v>
      </c>
      <c r="B35" s="15">
        <v>19822000</v>
      </c>
      <c r="C35" s="7"/>
      <c r="D35" s="7"/>
      <c r="E35" s="7"/>
      <c r="F35" s="30">
        <v>19822000</v>
      </c>
      <c r="G35" s="7"/>
      <c r="H35" s="15">
        <v>20087000</v>
      </c>
      <c r="I35" s="7"/>
      <c r="J35" s="7"/>
      <c r="K35" s="7"/>
      <c r="L35" s="30">
        <v>20087000</v>
      </c>
    </row>
    <row r="36" spans="1:12" ht="15" x14ac:dyDescent="0.35">
      <c r="A36" s="7"/>
      <c r="B36" s="7"/>
      <c r="C36" s="7"/>
      <c r="D36" s="7"/>
      <c r="E36" s="7"/>
      <c r="F36" s="7"/>
      <c r="G36" s="7"/>
      <c r="H36" s="7"/>
      <c r="I36" s="7"/>
      <c r="J36" s="7"/>
      <c r="K36" s="7"/>
      <c r="L36" s="7"/>
    </row>
    <row r="37" spans="1:12" ht="15" x14ac:dyDescent="0.35">
      <c r="A37" s="7" t="s">
        <v>109</v>
      </c>
      <c r="B37" s="7"/>
      <c r="C37" s="7"/>
      <c r="D37" s="7"/>
      <c r="E37" s="7"/>
      <c r="F37" s="7"/>
      <c r="G37" s="7"/>
      <c r="H37" s="7"/>
      <c r="I37" s="7"/>
      <c r="J37" s="7"/>
      <c r="K37" s="7"/>
      <c r="L37" s="7"/>
    </row>
    <row r="38" spans="1:12" ht="32.1" customHeight="1" x14ac:dyDescent="0.3">
      <c r="A38" s="77" t="s">
        <v>110</v>
      </c>
      <c r="B38" s="77"/>
      <c r="C38" s="77"/>
      <c r="D38" s="77"/>
      <c r="E38" s="77"/>
      <c r="F38" s="77"/>
      <c r="G38" s="77"/>
      <c r="H38" s="77"/>
      <c r="I38" s="77"/>
      <c r="J38" s="77"/>
      <c r="K38" s="77"/>
      <c r="L38" s="77"/>
    </row>
  </sheetData>
  <mergeCells count="3">
    <mergeCell ref="B1:F1"/>
    <mergeCell ref="H1:L1"/>
    <mergeCell ref="A38:L38"/>
  </mergeCells>
  <conditionalFormatting sqref="A4:L8 A11:L17 A19:L19 A21:L29 A31:L32 A34:L35">
    <cfRule type="expression" dxfId="5" priority="1">
      <formula>MOD(ROW(),2)=0</formula>
    </cfRule>
  </conditionalFormatting>
  <pageMargins left="0.7" right="0.7" top="0.75" bottom="0.75" header="0.3" footer="0.3"/>
  <pageSetup scale="78"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18BB-D230-BF47-BE0C-ABB9D03A4DB2}">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2.44140625" customWidth="1"/>
    <col min="4" max="4" width="12.6640625" customWidth="1"/>
    <col min="5" max="5" width="2.44140625" customWidth="1"/>
    <col min="6" max="6" width="12.6640625" customWidth="1"/>
    <col min="7" max="7" width="2.44140625" customWidth="1"/>
    <col min="8" max="8" width="12.6640625" customWidth="1"/>
    <col min="9" max="9" width="2.44140625" customWidth="1"/>
    <col min="10" max="10" width="12.6640625" customWidth="1"/>
    <col min="11" max="11" width="2.44140625" customWidth="1"/>
    <col min="12" max="12" width="12.6640625" customWidth="1"/>
    <col min="13" max="13" width="2.44140625" customWidth="1"/>
    <col min="14" max="14" width="12.6640625" customWidth="1"/>
    <col min="15" max="15" width="2.44140625" customWidth="1"/>
    <col min="16" max="16" width="12.6640625" customWidth="1"/>
    <col min="17" max="17" width="2.44140625" customWidth="1"/>
    <col min="18" max="18" width="12.6640625" customWidth="1"/>
    <col min="19" max="19" width="2.44140625" customWidth="1"/>
    <col min="20" max="20" width="12.6640625" customWidth="1"/>
    <col min="21" max="21" width="2.44140625" customWidth="1"/>
    <col min="22" max="22" width="12.6640625" customWidth="1"/>
    <col min="23" max="23" width="2.44140625" customWidth="1"/>
    <col min="24" max="24" width="12.6640625" customWidth="1"/>
  </cols>
  <sheetData>
    <row r="1" spans="1:24" ht="15" x14ac:dyDescent="0.35">
      <c r="A1" s="7"/>
      <c r="B1" s="76" t="s">
        <v>115</v>
      </c>
      <c r="C1" s="76"/>
      <c r="D1" s="76"/>
      <c r="E1" s="76"/>
      <c r="F1" s="76"/>
      <c r="G1" s="7"/>
      <c r="H1" s="76" t="s">
        <v>116</v>
      </c>
      <c r="I1" s="76"/>
      <c r="J1" s="76"/>
      <c r="K1" s="76"/>
      <c r="L1" s="76"/>
      <c r="M1" s="7"/>
      <c r="N1" s="76" t="s">
        <v>117</v>
      </c>
      <c r="O1" s="76"/>
      <c r="P1" s="76"/>
      <c r="Q1" s="76"/>
      <c r="R1" s="76"/>
      <c r="S1" s="7"/>
      <c r="T1" s="76" t="s">
        <v>118</v>
      </c>
      <c r="U1" s="76"/>
      <c r="V1" s="76"/>
      <c r="W1" s="76"/>
      <c r="X1" s="76"/>
    </row>
    <row r="2" spans="1:24" ht="45"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 x14ac:dyDescent="0.35">
      <c r="A3" s="7" t="s">
        <v>91</v>
      </c>
      <c r="B3" s="7"/>
      <c r="C3" s="7"/>
      <c r="D3" s="7"/>
      <c r="E3" s="7"/>
      <c r="F3" s="7"/>
      <c r="G3" s="7"/>
      <c r="H3" s="7"/>
      <c r="I3" s="7"/>
      <c r="J3" s="7"/>
      <c r="K3" s="7"/>
      <c r="L3" s="7"/>
      <c r="M3" s="7"/>
      <c r="N3" s="7"/>
      <c r="O3" s="7"/>
      <c r="P3" s="7"/>
      <c r="Q3" s="7"/>
      <c r="R3" s="7"/>
      <c r="S3" s="7"/>
      <c r="T3" s="7"/>
      <c r="U3" s="7"/>
      <c r="V3" s="7"/>
      <c r="W3" s="7"/>
      <c r="X3" s="7"/>
    </row>
    <row r="4" spans="1:24" ht="15" x14ac:dyDescent="0.35">
      <c r="A4" s="7" t="s">
        <v>92</v>
      </c>
      <c r="B4" s="15">
        <v>3924000</v>
      </c>
      <c r="C4" s="24"/>
      <c r="D4" s="24">
        <v>-1888000</v>
      </c>
      <c r="E4" s="24"/>
      <c r="F4" s="15">
        <v>2036000</v>
      </c>
      <c r="G4" s="7"/>
      <c r="H4" s="15">
        <v>3348000</v>
      </c>
      <c r="I4" s="24"/>
      <c r="J4" s="24">
        <v>-1454000</v>
      </c>
      <c r="K4" s="24"/>
      <c r="L4" s="15">
        <v>1894000</v>
      </c>
      <c r="M4" s="7"/>
      <c r="N4" s="15">
        <v>3704000</v>
      </c>
      <c r="O4" s="24"/>
      <c r="P4" s="24">
        <v>-1388000</v>
      </c>
      <c r="Q4" s="24"/>
      <c r="R4" s="15">
        <v>2316000</v>
      </c>
      <c r="S4" s="7"/>
      <c r="T4" s="15">
        <v>6005000</v>
      </c>
      <c r="U4" s="15"/>
      <c r="V4" s="15">
        <v>-1680000</v>
      </c>
      <c r="W4" s="15"/>
      <c r="X4" s="15">
        <v>4325000</v>
      </c>
    </row>
    <row r="5" spans="1:24" ht="15" x14ac:dyDescent="0.35">
      <c r="A5" s="7" t="s">
        <v>3</v>
      </c>
      <c r="B5" s="15">
        <v>2426000</v>
      </c>
      <c r="C5" s="24"/>
      <c r="D5" s="24">
        <v>0</v>
      </c>
      <c r="E5" s="24"/>
      <c r="F5" s="15">
        <v>2426000</v>
      </c>
      <c r="G5" s="7"/>
      <c r="H5" s="15">
        <v>24000</v>
      </c>
      <c r="I5" s="24"/>
      <c r="J5" s="24">
        <v>-12000</v>
      </c>
      <c r="K5" s="24"/>
      <c r="L5" s="15">
        <v>12000</v>
      </c>
      <c r="M5" s="7"/>
      <c r="N5" s="15">
        <v>24000</v>
      </c>
      <c r="O5" s="24"/>
      <c r="P5" s="24">
        <v>12000</v>
      </c>
      <c r="Q5" s="24"/>
      <c r="R5" s="15">
        <v>36000</v>
      </c>
      <c r="S5" s="7"/>
      <c r="T5" s="15">
        <v>1182000</v>
      </c>
      <c r="U5" s="15"/>
      <c r="V5" s="15">
        <v>-17000</v>
      </c>
      <c r="W5" s="15"/>
      <c r="X5" s="15">
        <v>1165000</v>
      </c>
    </row>
    <row r="6" spans="1:24" ht="15" x14ac:dyDescent="0.35">
      <c r="A6" s="7" t="s">
        <v>93</v>
      </c>
      <c r="B6" s="15">
        <v>0</v>
      </c>
      <c r="C6" s="24"/>
      <c r="D6" s="24">
        <v>23209000</v>
      </c>
      <c r="E6" s="24"/>
      <c r="F6" s="15">
        <v>23209000</v>
      </c>
      <c r="G6" s="7"/>
      <c r="H6" s="15">
        <v>0</v>
      </c>
      <c r="I6" s="24"/>
      <c r="J6" s="24">
        <v>16273000</v>
      </c>
      <c r="K6" s="24"/>
      <c r="L6" s="15">
        <v>16273000</v>
      </c>
      <c r="M6" s="7"/>
      <c r="N6" s="15">
        <v>0</v>
      </c>
      <c r="O6" s="24"/>
      <c r="P6" s="24">
        <v>12526000</v>
      </c>
      <c r="Q6" s="24"/>
      <c r="R6" s="15">
        <v>12526000</v>
      </c>
      <c r="S6" s="7"/>
      <c r="T6" s="15">
        <v>0</v>
      </c>
      <c r="U6" s="15"/>
      <c r="V6" s="15">
        <v>16897000</v>
      </c>
      <c r="W6" s="15"/>
      <c r="X6" s="15">
        <v>16897000</v>
      </c>
    </row>
    <row r="7" spans="1:24" ht="15" x14ac:dyDescent="0.35">
      <c r="A7" s="7" t="s">
        <v>94</v>
      </c>
      <c r="B7" s="15">
        <v>0</v>
      </c>
      <c r="C7" s="24"/>
      <c r="D7" s="24">
        <v>1851000</v>
      </c>
      <c r="E7" s="24"/>
      <c r="F7" s="15">
        <v>1851000</v>
      </c>
      <c r="G7" s="7"/>
      <c r="H7" s="15">
        <v>0</v>
      </c>
      <c r="I7" s="24"/>
      <c r="J7" s="24">
        <v>2266000</v>
      </c>
      <c r="K7" s="24"/>
      <c r="L7" s="15">
        <v>2266000</v>
      </c>
      <c r="M7" s="7"/>
      <c r="N7" s="15">
        <v>0</v>
      </c>
      <c r="O7" s="24"/>
      <c r="P7" s="24">
        <v>2147000</v>
      </c>
      <c r="Q7" s="24"/>
      <c r="R7" s="15">
        <v>2147000</v>
      </c>
      <c r="S7" s="7"/>
      <c r="T7" s="15">
        <v>0</v>
      </c>
      <c r="U7" s="15"/>
      <c r="V7" s="15">
        <v>1558000</v>
      </c>
      <c r="W7" s="15"/>
      <c r="X7" s="15">
        <v>1558000</v>
      </c>
    </row>
    <row r="8" spans="1:24" ht="15" x14ac:dyDescent="0.35">
      <c r="A8" s="7" t="s">
        <v>95</v>
      </c>
      <c r="B8" s="14">
        <v>6350000</v>
      </c>
      <c r="C8" s="24"/>
      <c r="D8" s="27">
        <v>23172000</v>
      </c>
      <c r="E8" s="24"/>
      <c r="F8" s="14">
        <v>29522000</v>
      </c>
      <c r="G8" s="7"/>
      <c r="H8" s="14">
        <v>3372000</v>
      </c>
      <c r="I8" s="24"/>
      <c r="J8" s="27">
        <v>17073000</v>
      </c>
      <c r="K8" s="24"/>
      <c r="L8" s="14">
        <v>20445000</v>
      </c>
      <c r="M8" s="7"/>
      <c r="N8" s="14">
        <v>3728000</v>
      </c>
      <c r="O8" s="24"/>
      <c r="P8" s="27">
        <v>13297000</v>
      </c>
      <c r="Q8" s="24"/>
      <c r="R8" s="14">
        <v>17025000</v>
      </c>
      <c r="S8" s="7"/>
      <c r="T8" s="14">
        <v>7187000</v>
      </c>
      <c r="U8" s="15"/>
      <c r="V8" s="14">
        <v>16758000</v>
      </c>
      <c r="W8" s="15"/>
      <c r="X8" s="14">
        <v>23945000</v>
      </c>
    </row>
    <row r="9" spans="1:24" ht="15" x14ac:dyDescent="0.35">
      <c r="A9" s="7"/>
      <c r="B9" s="15"/>
      <c r="C9" s="24"/>
      <c r="D9" s="24"/>
      <c r="E9" s="24"/>
      <c r="F9" s="15"/>
      <c r="G9" s="7"/>
      <c r="H9" s="15"/>
      <c r="I9" s="24"/>
      <c r="J9" s="24"/>
      <c r="K9" s="24"/>
      <c r="L9" s="15"/>
      <c r="M9" s="7"/>
      <c r="N9" s="15"/>
      <c r="O9" s="24"/>
      <c r="P9" s="24"/>
      <c r="Q9" s="24"/>
      <c r="R9" s="15"/>
      <c r="S9" s="7"/>
      <c r="T9" s="15"/>
      <c r="U9" s="15"/>
      <c r="V9" s="15"/>
      <c r="W9" s="15"/>
      <c r="X9" s="15"/>
    </row>
    <row r="10" spans="1:24" ht="15" x14ac:dyDescent="0.35">
      <c r="A10" s="7" t="s">
        <v>96</v>
      </c>
      <c r="B10" s="15"/>
      <c r="C10" s="24"/>
      <c r="D10" s="24"/>
      <c r="E10" s="24"/>
      <c r="F10" s="15"/>
      <c r="G10" s="7"/>
      <c r="H10" s="15"/>
      <c r="I10" s="24"/>
      <c r="J10" s="24"/>
      <c r="K10" s="24"/>
      <c r="L10" s="15"/>
      <c r="M10" s="7"/>
      <c r="N10" s="15"/>
      <c r="O10" s="24"/>
      <c r="P10" s="24"/>
      <c r="Q10" s="24"/>
      <c r="R10" s="15"/>
      <c r="S10" s="7"/>
      <c r="T10" s="15"/>
      <c r="U10" s="15"/>
      <c r="V10" s="15"/>
      <c r="W10" s="15"/>
      <c r="X10" s="15"/>
    </row>
    <row r="11" spans="1:24" ht="15" x14ac:dyDescent="0.35">
      <c r="A11" s="7" t="s">
        <v>6</v>
      </c>
      <c r="B11" s="15">
        <v>4457000</v>
      </c>
      <c r="C11" s="24"/>
      <c r="D11" s="24">
        <v>47000</v>
      </c>
      <c r="E11" s="24"/>
      <c r="F11" s="15">
        <v>4504000</v>
      </c>
      <c r="G11" s="7"/>
      <c r="H11" s="15">
        <v>6731000</v>
      </c>
      <c r="I11" s="24"/>
      <c r="J11" s="24">
        <v>89000</v>
      </c>
      <c r="K11" s="24"/>
      <c r="L11" s="15">
        <v>6820000</v>
      </c>
      <c r="M11" s="7"/>
      <c r="N11" s="15">
        <v>4724000</v>
      </c>
      <c r="O11" s="24"/>
      <c r="P11" s="24">
        <v>157000</v>
      </c>
      <c r="Q11" s="24"/>
      <c r="R11" s="15">
        <v>4881000</v>
      </c>
      <c r="S11" s="7"/>
      <c r="T11" s="15">
        <v>5896000</v>
      </c>
      <c r="U11" s="15"/>
      <c r="V11" s="15">
        <v>-790000</v>
      </c>
      <c r="W11" s="15"/>
      <c r="X11" s="15">
        <v>5106000</v>
      </c>
    </row>
    <row r="12" spans="1:24" ht="15" x14ac:dyDescent="0.35">
      <c r="A12" s="7" t="s">
        <v>7</v>
      </c>
      <c r="B12" s="15">
        <v>1610000</v>
      </c>
      <c r="C12" s="24"/>
      <c r="D12" s="24">
        <v>206000</v>
      </c>
      <c r="E12" s="24"/>
      <c r="F12" s="15">
        <v>1816000</v>
      </c>
      <c r="G12" s="7"/>
      <c r="H12" s="15">
        <v>1398000</v>
      </c>
      <c r="I12" s="24"/>
      <c r="J12" s="24">
        <v>28000</v>
      </c>
      <c r="K12" s="24"/>
      <c r="L12" s="15">
        <v>1426000</v>
      </c>
      <c r="M12" s="7"/>
      <c r="N12" s="15">
        <v>1651000</v>
      </c>
      <c r="O12" s="24"/>
      <c r="P12" s="24">
        <v>21000</v>
      </c>
      <c r="Q12" s="24"/>
      <c r="R12" s="15">
        <v>1672000</v>
      </c>
      <c r="S12" s="7"/>
      <c r="T12" s="15">
        <v>2148000</v>
      </c>
      <c r="U12" s="15"/>
      <c r="V12" s="15">
        <v>-292000</v>
      </c>
      <c r="W12" s="15"/>
      <c r="X12" s="15">
        <v>1856000</v>
      </c>
    </row>
    <row r="13" spans="1:24" ht="15" x14ac:dyDescent="0.35">
      <c r="A13" s="7" t="s">
        <v>8</v>
      </c>
      <c r="B13" s="15">
        <v>353000</v>
      </c>
      <c r="C13" s="24"/>
      <c r="D13" s="24">
        <v>0</v>
      </c>
      <c r="E13" s="24"/>
      <c r="F13" s="15">
        <v>353000</v>
      </c>
      <c r="G13" s="7"/>
      <c r="H13" s="15">
        <v>326000</v>
      </c>
      <c r="I13" s="24"/>
      <c r="J13" s="24">
        <v>-1000</v>
      </c>
      <c r="K13" s="24"/>
      <c r="L13" s="15">
        <v>325000</v>
      </c>
      <c r="M13" s="7"/>
      <c r="N13" s="15">
        <v>208000</v>
      </c>
      <c r="O13" s="24"/>
      <c r="P13" s="24">
        <v>2000</v>
      </c>
      <c r="Q13" s="24"/>
      <c r="R13" s="15">
        <v>210000</v>
      </c>
      <c r="S13" s="7"/>
      <c r="T13" s="15">
        <v>166000</v>
      </c>
      <c r="U13" s="15"/>
      <c r="V13" s="15">
        <v>-2000</v>
      </c>
      <c r="W13" s="15"/>
      <c r="X13" s="15">
        <v>164000</v>
      </c>
    </row>
    <row r="14" spans="1:24" ht="15" x14ac:dyDescent="0.35">
      <c r="A14" s="7" t="s">
        <v>9</v>
      </c>
      <c r="B14" s="15">
        <v>32000</v>
      </c>
      <c r="C14" s="24"/>
      <c r="D14" s="24">
        <v>100000</v>
      </c>
      <c r="E14" s="24"/>
      <c r="F14" s="15">
        <v>132000</v>
      </c>
      <c r="G14" s="7"/>
      <c r="H14" s="15">
        <v>92000</v>
      </c>
      <c r="I14" s="24"/>
      <c r="J14" s="24">
        <v>45000</v>
      </c>
      <c r="K14" s="24"/>
      <c r="L14" s="15">
        <v>137000</v>
      </c>
      <c r="M14" s="7"/>
      <c r="N14" s="15">
        <v>73000</v>
      </c>
      <c r="O14" s="24"/>
      <c r="P14" s="24">
        <v>67000</v>
      </c>
      <c r="Q14" s="24"/>
      <c r="R14" s="15">
        <v>140000</v>
      </c>
      <c r="S14" s="7"/>
      <c r="T14" s="15">
        <v>354000</v>
      </c>
      <c r="U14" s="15"/>
      <c r="V14" s="15">
        <v>-213000</v>
      </c>
      <c r="W14" s="15"/>
      <c r="X14" s="15">
        <v>141000</v>
      </c>
    </row>
    <row r="15" spans="1:24" ht="15" x14ac:dyDescent="0.35">
      <c r="A15" s="7" t="s">
        <v>97</v>
      </c>
      <c r="B15" s="15">
        <v>0</v>
      </c>
      <c r="C15" s="24"/>
      <c r="D15" s="24">
        <v>20283000</v>
      </c>
      <c r="E15" s="24"/>
      <c r="F15" s="15">
        <v>20283000</v>
      </c>
      <c r="G15" s="7"/>
      <c r="H15" s="15">
        <v>0</v>
      </c>
      <c r="I15" s="24"/>
      <c r="J15" s="24">
        <v>20749000</v>
      </c>
      <c r="K15" s="24"/>
      <c r="L15" s="15">
        <v>20749000</v>
      </c>
      <c r="M15" s="7"/>
      <c r="N15" s="15">
        <v>0</v>
      </c>
      <c r="O15" s="24"/>
      <c r="P15" s="24">
        <v>18644000</v>
      </c>
      <c r="Q15" s="24"/>
      <c r="R15" s="15">
        <v>18644000</v>
      </c>
      <c r="S15" s="7"/>
      <c r="T15" s="15">
        <v>0</v>
      </c>
      <c r="U15" s="15"/>
      <c r="V15" s="15">
        <v>20993000</v>
      </c>
      <c r="W15" s="15"/>
      <c r="X15" s="15">
        <v>20993000</v>
      </c>
    </row>
    <row r="16" spans="1:24" ht="15" x14ac:dyDescent="0.35">
      <c r="A16" s="7" t="s">
        <v>98</v>
      </c>
      <c r="B16" s="15">
        <v>0</v>
      </c>
      <c r="C16" s="24"/>
      <c r="D16" s="24">
        <v>1925000</v>
      </c>
      <c r="E16" s="24"/>
      <c r="F16" s="15">
        <v>1925000</v>
      </c>
      <c r="G16" s="7"/>
      <c r="H16" s="15">
        <v>0</v>
      </c>
      <c r="I16" s="24"/>
      <c r="J16" s="24">
        <v>1949000</v>
      </c>
      <c r="K16" s="24"/>
      <c r="L16" s="15">
        <v>1949000</v>
      </c>
      <c r="M16" s="7"/>
      <c r="N16" s="15">
        <v>0</v>
      </c>
      <c r="O16" s="24"/>
      <c r="P16" s="24">
        <v>2883000</v>
      </c>
      <c r="Q16" s="24"/>
      <c r="R16" s="15">
        <v>2883000</v>
      </c>
      <c r="S16" s="7"/>
      <c r="T16" s="15">
        <v>0</v>
      </c>
      <c r="U16" s="15"/>
      <c r="V16" s="15">
        <v>2405000</v>
      </c>
      <c r="W16" s="15"/>
      <c r="X16" s="15">
        <v>2405000</v>
      </c>
    </row>
    <row r="17" spans="1:24" ht="15" x14ac:dyDescent="0.35">
      <c r="A17" s="7" t="s">
        <v>99</v>
      </c>
      <c r="B17" s="14">
        <v>6452000</v>
      </c>
      <c r="C17" s="24"/>
      <c r="D17" s="27">
        <v>22561000</v>
      </c>
      <c r="E17" s="24"/>
      <c r="F17" s="14">
        <v>29013000</v>
      </c>
      <c r="G17" s="7"/>
      <c r="H17" s="14">
        <v>8547000</v>
      </c>
      <c r="I17" s="24"/>
      <c r="J17" s="27">
        <v>22859000</v>
      </c>
      <c r="K17" s="24"/>
      <c r="L17" s="14">
        <v>31406000</v>
      </c>
      <c r="M17" s="7"/>
      <c r="N17" s="14">
        <v>6656000</v>
      </c>
      <c r="O17" s="24"/>
      <c r="P17" s="27">
        <v>21774000</v>
      </c>
      <c r="Q17" s="24"/>
      <c r="R17" s="14">
        <v>28430000</v>
      </c>
      <c r="S17" s="7"/>
      <c r="T17" s="14">
        <v>8564000</v>
      </c>
      <c r="U17" s="15"/>
      <c r="V17" s="14">
        <v>22101000</v>
      </c>
      <c r="W17" s="15"/>
      <c r="X17" s="14">
        <v>30665000</v>
      </c>
    </row>
    <row r="18" spans="1:24" ht="15" x14ac:dyDescent="0.35">
      <c r="A18" s="7"/>
      <c r="B18" s="15"/>
      <c r="C18" s="24"/>
      <c r="D18" s="24"/>
      <c r="E18" s="24"/>
      <c r="F18" s="15"/>
      <c r="G18" s="7"/>
      <c r="H18" s="15"/>
      <c r="I18" s="24"/>
      <c r="J18" s="24"/>
      <c r="K18" s="24"/>
      <c r="L18" s="15"/>
      <c r="M18" s="7"/>
      <c r="N18" s="15"/>
      <c r="O18" s="24"/>
      <c r="P18" s="24"/>
      <c r="Q18" s="24"/>
      <c r="R18" s="15"/>
      <c r="S18" s="7"/>
      <c r="T18" s="15"/>
      <c r="U18" s="15"/>
      <c r="V18" s="15"/>
      <c r="W18" s="15"/>
      <c r="X18" s="15"/>
    </row>
    <row r="19" spans="1:24" ht="15" x14ac:dyDescent="0.35">
      <c r="A19" s="7" t="s">
        <v>100</v>
      </c>
      <c r="B19" s="15">
        <v>0</v>
      </c>
      <c r="C19" s="24"/>
      <c r="D19" s="24">
        <v>0</v>
      </c>
      <c r="E19" s="24"/>
      <c r="F19" s="15">
        <v>0</v>
      </c>
      <c r="G19" s="7"/>
      <c r="H19" s="15">
        <v>0</v>
      </c>
      <c r="I19" s="24"/>
      <c r="J19" s="24">
        <v>0</v>
      </c>
      <c r="K19" s="24"/>
      <c r="L19" s="15">
        <v>0</v>
      </c>
      <c r="M19" s="7"/>
      <c r="N19" s="15">
        <v>0</v>
      </c>
      <c r="O19" s="24"/>
      <c r="P19" s="24">
        <v>0</v>
      </c>
      <c r="Q19" s="24"/>
      <c r="R19" s="15">
        <v>0</v>
      </c>
      <c r="S19" s="7"/>
      <c r="T19" s="15">
        <v>0</v>
      </c>
      <c r="U19" s="15"/>
      <c r="V19" s="15">
        <v>4976000</v>
      </c>
      <c r="W19" s="15"/>
      <c r="X19" s="15">
        <v>4976000</v>
      </c>
    </row>
    <row r="20" spans="1:24" ht="15" x14ac:dyDescent="0.35">
      <c r="A20" s="7"/>
      <c r="B20" s="15"/>
      <c r="C20" s="24"/>
      <c r="D20" s="24"/>
      <c r="E20" s="24"/>
      <c r="F20" s="15"/>
      <c r="G20" s="7"/>
      <c r="H20" s="15"/>
      <c r="I20" s="24"/>
      <c r="J20" s="24"/>
      <c r="K20" s="24"/>
      <c r="L20" s="15"/>
      <c r="M20" s="7"/>
      <c r="N20" s="15"/>
      <c r="O20" s="24"/>
      <c r="P20" s="24"/>
      <c r="Q20" s="24"/>
      <c r="R20" s="15"/>
      <c r="S20" s="7"/>
      <c r="T20" s="15"/>
      <c r="U20" s="15"/>
      <c r="V20" s="15"/>
      <c r="W20" s="15"/>
      <c r="X20" s="15"/>
    </row>
    <row r="21" spans="1:24" ht="15" x14ac:dyDescent="0.35">
      <c r="A21" s="7" t="s">
        <v>101</v>
      </c>
      <c r="B21" s="15">
        <v>-152000</v>
      </c>
      <c r="C21" s="24"/>
      <c r="D21" s="24">
        <v>671000</v>
      </c>
      <c r="E21" s="24"/>
      <c r="F21" s="15">
        <v>519000</v>
      </c>
      <c r="G21" s="7"/>
      <c r="H21" s="15">
        <v>297000</v>
      </c>
      <c r="I21" s="24"/>
      <c r="J21" s="24">
        <v>249000</v>
      </c>
      <c r="K21" s="24"/>
      <c r="L21" s="15">
        <v>546000</v>
      </c>
      <c r="M21" s="7"/>
      <c r="N21" s="15">
        <v>149000</v>
      </c>
      <c r="O21" s="24"/>
      <c r="P21" s="24">
        <v>265000</v>
      </c>
      <c r="Q21" s="24"/>
      <c r="R21" s="15">
        <v>414000</v>
      </c>
      <c r="S21" s="7"/>
      <c r="T21" s="15">
        <v>355000</v>
      </c>
      <c r="U21" s="15"/>
      <c r="V21" s="15">
        <v>-1460000</v>
      </c>
      <c r="W21" s="15"/>
      <c r="X21" s="15">
        <v>-1105000</v>
      </c>
    </row>
    <row r="22" spans="1:24" ht="15" x14ac:dyDescent="0.35">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15"/>
      <c r="V22" s="15">
        <v>0</v>
      </c>
      <c r="W22" s="15"/>
      <c r="X22" s="15">
        <v>0</v>
      </c>
    </row>
    <row r="23" spans="1:24" ht="15" x14ac:dyDescent="0.35">
      <c r="A23" s="7" t="s">
        <v>13</v>
      </c>
      <c r="B23" s="15">
        <v>252000</v>
      </c>
      <c r="C23" s="24"/>
      <c r="D23" s="24">
        <v>-154000</v>
      </c>
      <c r="E23" s="24"/>
      <c r="F23" s="15">
        <v>98000</v>
      </c>
      <c r="G23" s="7"/>
      <c r="H23" s="15">
        <v>497000</v>
      </c>
      <c r="I23" s="24"/>
      <c r="J23" s="24">
        <v>-401000</v>
      </c>
      <c r="K23" s="24"/>
      <c r="L23" s="15">
        <v>96000</v>
      </c>
      <c r="M23" s="7"/>
      <c r="N23" s="15">
        <v>730000</v>
      </c>
      <c r="O23" s="24"/>
      <c r="P23" s="24">
        <v>-645000</v>
      </c>
      <c r="Q23" s="24"/>
      <c r="R23" s="15">
        <v>85000</v>
      </c>
      <c r="S23" s="7"/>
      <c r="T23" s="15">
        <v>384000</v>
      </c>
      <c r="U23" s="15"/>
      <c r="V23" s="15">
        <v>-313000</v>
      </c>
      <c r="W23" s="15"/>
      <c r="X23" s="15">
        <v>71000</v>
      </c>
    </row>
    <row r="24" spans="1:24" ht="15" x14ac:dyDescent="0.35">
      <c r="A24" s="7" t="s">
        <v>14</v>
      </c>
      <c r="B24" s="19">
        <v>-832000</v>
      </c>
      <c r="C24" s="24"/>
      <c r="D24" s="28">
        <v>1000</v>
      </c>
      <c r="E24" s="24"/>
      <c r="F24" s="19">
        <v>-831000</v>
      </c>
      <c r="G24" s="7"/>
      <c r="H24" s="19">
        <v>-1260000</v>
      </c>
      <c r="I24" s="24"/>
      <c r="J24" s="28">
        <v>-1000</v>
      </c>
      <c r="K24" s="24"/>
      <c r="L24" s="19">
        <v>-1261000</v>
      </c>
      <c r="M24" s="7"/>
      <c r="N24" s="19">
        <v>-1317000</v>
      </c>
      <c r="O24" s="24"/>
      <c r="P24" s="28">
        <v>1000</v>
      </c>
      <c r="Q24" s="24"/>
      <c r="R24" s="19">
        <v>-1316000</v>
      </c>
      <c r="S24" s="7"/>
      <c r="T24" s="19">
        <v>-1307000</v>
      </c>
      <c r="U24" s="15"/>
      <c r="V24" s="19">
        <v>-2000</v>
      </c>
      <c r="W24" s="15"/>
      <c r="X24" s="19">
        <v>-1309000</v>
      </c>
    </row>
    <row r="25" spans="1:24" ht="15" x14ac:dyDescent="0.35">
      <c r="A25" s="7" t="s">
        <v>102</v>
      </c>
      <c r="B25" s="15">
        <v>-834000</v>
      </c>
      <c r="C25" s="24"/>
      <c r="D25" s="15">
        <v>1129000</v>
      </c>
      <c r="E25" s="24"/>
      <c r="F25" s="15">
        <v>295000</v>
      </c>
      <c r="G25" s="7"/>
      <c r="H25" s="15">
        <v>-5641000</v>
      </c>
      <c r="I25" s="24"/>
      <c r="J25" s="15">
        <v>-5939000</v>
      </c>
      <c r="K25" s="24"/>
      <c r="L25" s="15">
        <v>-11580000</v>
      </c>
      <c r="M25" s="7"/>
      <c r="N25" s="15">
        <v>-3366000</v>
      </c>
      <c r="O25" s="24"/>
      <c r="P25" s="15">
        <v>-8856000</v>
      </c>
      <c r="Q25" s="24"/>
      <c r="R25" s="15">
        <v>-12222000</v>
      </c>
      <c r="S25" s="7"/>
      <c r="T25" s="15">
        <v>-1945000</v>
      </c>
      <c r="U25" s="15"/>
      <c r="V25" s="15">
        <v>-2142000</v>
      </c>
      <c r="W25" s="15"/>
      <c r="X25" s="15">
        <v>-4087000</v>
      </c>
    </row>
    <row r="26" spans="1:24" ht="15" x14ac:dyDescent="0.35">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15"/>
      <c r="V26" s="19">
        <v>0</v>
      </c>
      <c r="W26" s="15"/>
      <c r="X26" s="19">
        <v>0</v>
      </c>
    </row>
    <row r="27" spans="1:24" ht="15" x14ac:dyDescent="0.35">
      <c r="A27" s="7" t="s">
        <v>103</v>
      </c>
      <c r="B27" s="15">
        <v>-834000</v>
      </c>
      <c r="C27" s="24"/>
      <c r="D27" s="24">
        <v>1129000</v>
      </c>
      <c r="E27" s="24"/>
      <c r="F27" s="15">
        <v>295000</v>
      </c>
      <c r="G27" s="7"/>
      <c r="H27" s="15">
        <v>-5641000</v>
      </c>
      <c r="I27" s="24"/>
      <c r="J27" s="24">
        <v>-5939000</v>
      </c>
      <c r="K27" s="24"/>
      <c r="L27" s="15">
        <v>-11580000</v>
      </c>
      <c r="M27" s="7"/>
      <c r="N27" s="15">
        <v>-3366000</v>
      </c>
      <c r="O27" s="24"/>
      <c r="P27" s="24">
        <v>-8856000</v>
      </c>
      <c r="Q27" s="24"/>
      <c r="R27" s="15">
        <v>-12222000</v>
      </c>
      <c r="S27" s="7"/>
      <c r="T27" s="15">
        <v>-1945000</v>
      </c>
      <c r="U27" s="15"/>
      <c r="V27" s="15">
        <v>-2142000</v>
      </c>
      <c r="W27" s="15"/>
      <c r="X27" s="15">
        <v>-4087000</v>
      </c>
    </row>
    <row r="28" spans="1:24" ht="15" x14ac:dyDescent="0.35">
      <c r="A28" s="7" t="s">
        <v>104</v>
      </c>
      <c r="B28" s="15">
        <v>0</v>
      </c>
      <c r="C28" s="24"/>
      <c r="D28" s="24">
        <v>1502000</v>
      </c>
      <c r="E28" s="24"/>
      <c r="F28" s="15">
        <v>1502000</v>
      </c>
      <c r="G28" s="7"/>
      <c r="H28" s="15">
        <v>0</v>
      </c>
      <c r="I28" s="24"/>
      <c r="J28" s="24">
        <v>-5854000</v>
      </c>
      <c r="K28" s="24"/>
      <c r="L28" s="15">
        <v>-5854000</v>
      </c>
      <c r="M28" s="7"/>
      <c r="N28" s="15">
        <v>0</v>
      </c>
      <c r="O28" s="24"/>
      <c r="P28" s="24">
        <v>-8813000</v>
      </c>
      <c r="Q28" s="24"/>
      <c r="R28" s="15">
        <v>-8813000</v>
      </c>
      <c r="S28" s="7"/>
      <c r="T28" s="15">
        <v>0</v>
      </c>
      <c r="U28" s="15"/>
      <c r="V28" s="15">
        <v>-1726000</v>
      </c>
      <c r="W28" s="15"/>
      <c r="X28" s="15">
        <v>-1726000</v>
      </c>
    </row>
    <row r="29" spans="1:24" ht="15.6" thickBot="1" x14ac:dyDescent="0.4">
      <c r="A29" s="7" t="s">
        <v>105</v>
      </c>
      <c r="B29" s="33">
        <v>-834000</v>
      </c>
      <c r="C29" s="24"/>
      <c r="D29" s="33">
        <v>-373000</v>
      </c>
      <c r="E29" s="24"/>
      <c r="F29" s="38">
        <v>-1207000</v>
      </c>
      <c r="G29" s="7"/>
      <c r="H29" s="33">
        <v>-5641000</v>
      </c>
      <c r="I29" s="24"/>
      <c r="J29" s="33">
        <v>-85000</v>
      </c>
      <c r="K29" s="24"/>
      <c r="L29" s="38">
        <v>-5726000</v>
      </c>
      <c r="M29" s="7"/>
      <c r="N29" s="33">
        <v>-3366000</v>
      </c>
      <c r="O29" s="24"/>
      <c r="P29" s="33">
        <v>-43000</v>
      </c>
      <c r="Q29" s="24"/>
      <c r="R29" s="38">
        <v>-3409000</v>
      </c>
      <c r="S29" s="7"/>
      <c r="T29" s="38">
        <v>-1945000</v>
      </c>
      <c r="U29" s="15"/>
      <c r="V29" s="38">
        <v>-416000</v>
      </c>
      <c r="W29" s="15"/>
      <c r="X29" s="38">
        <v>-2361000</v>
      </c>
    </row>
    <row r="30" spans="1:24"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4" ht="15" x14ac:dyDescent="0.35">
      <c r="A31" s="7" t="s">
        <v>106</v>
      </c>
      <c r="B31" s="23">
        <v>-4.5869541304586953E-2</v>
      </c>
      <c r="C31" s="7"/>
      <c r="D31" s="7"/>
      <c r="E31" s="7"/>
      <c r="F31" s="23">
        <v>-6.638433615663844E-2</v>
      </c>
      <c r="G31" s="7"/>
      <c r="H31" s="23">
        <v>-0.28763002243524372</v>
      </c>
      <c r="I31" s="7"/>
      <c r="J31" s="7"/>
      <c r="K31" s="7"/>
      <c r="L31" s="23">
        <v>-0.29196410361003466</v>
      </c>
      <c r="M31" s="7"/>
      <c r="N31" s="23">
        <v>-0.15848949995291459</v>
      </c>
      <c r="O31" s="7"/>
      <c r="P31" s="7"/>
      <c r="Q31" s="7"/>
      <c r="R31" s="23">
        <v>-0.16051417270929466</v>
      </c>
      <c r="S31" s="7"/>
      <c r="T31" s="23">
        <v>-9.6828794742868526E-2</v>
      </c>
      <c r="U31" s="7"/>
      <c r="V31" s="7"/>
      <c r="W31" s="7"/>
      <c r="X31" s="23">
        <v>-0.11753870662617613</v>
      </c>
    </row>
    <row r="32" spans="1:24" ht="15" x14ac:dyDescent="0.35">
      <c r="A32" s="7" t="s">
        <v>107</v>
      </c>
      <c r="B32" s="23">
        <v>-4.5869541304586953E-2</v>
      </c>
      <c r="C32" s="7"/>
      <c r="D32" s="7"/>
      <c r="E32" s="7"/>
      <c r="F32" s="23">
        <v>-6.638433615663844E-2</v>
      </c>
      <c r="G32" s="7"/>
      <c r="H32" s="23">
        <v>-0.28763002243524372</v>
      </c>
      <c r="I32" s="7"/>
      <c r="J32" s="7"/>
      <c r="K32" s="7"/>
      <c r="L32" s="23">
        <v>-0.29196410361003466</v>
      </c>
      <c r="M32" s="7"/>
      <c r="N32" s="23">
        <v>-0.15848949995291459</v>
      </c>
      <c r="O32" s="7"/>
      <c r="P32" s="7"/>
      <c r="Q32" s="7"/>
      <c r="R32" s="23">
        <v>-0.16051417270929466</v>
      </c>
      <c r="S32" s="7"/>
      <c r="T32" s="23">
        <v>-9.6828794742868526E-2</v>
      </c>
      <c r="U32" s="7"/>
      <c r="V32" s="7"/>
      <c r="W32" s="7"/>
      <c r="X32" s="23">
        <v>-0.11753870662617613</v>
      </c>
    </row>
    <row r="33" spans="1:24" ht="15" x14ac:dyDescent="0.35">
      <c r="A33" s="7" t="s">
        <v>108</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19</v>
      </c>
      <c r="B34" s="15">
        <v>18182000</v>
      </c>
      <c r="C34" s="7"/>
      <c r="D34" s="30"/>
      <c r="E34" s="7"/>
      <c r="F34" s="30">
        <v>18182000</v>
      </c>
      <c r="G34" s="7"/>
      <c r="H34" s="15">
        <v>19612000</v>
      </c>
      <c r="I34" s="7"/>
      <c r="J34" s="30"/>
      <c r="K34" s="7"/>
      <c r="L34" s="30">
        <v>19612000</v>
      </c>
      <c r="M34" s="7"/>
      <c r="N34" s="15">
        <v>21238000</v>
      </c>
      <c r="O34" s="7"/>
      <c r="P34" s="30"/>
      <c r="Q34" s="7"/>
      <c r="R34" s="30">
        <v>21238000</v>
      </c>
      <c r="S34" s="7"/>
      <c r="T34" s="15">
        <v>20087000</v>
      </c>
      <c r="U34" s="7"/>
      <c r="V34" s="30"/>
      <c r="W34" s="7"/>
      <c r="X34" s="30">
        <v>20087000</v>
      </c>
    </row>
    <row r="35" spans="1:24" ht="15" x14ac:dyDescent="0.35">
      <c r="A35" s="7" t="s">
        <v>20</v>
      </c>
      <c r="B35" s="15">
        <v>18182000</v>
      </c>
      <c r="C35" s="7"/>
      <c r="D35" s="7"/>
      <c r="E35" s="7"/>
      <c r="F35" s="30">
        <v>18182000</v>
      </c>
      <c r="G35" s="7"/>
      <c r="H35" s="15">
        <v>19612000</v>
      </c>
      <c r="I35" s="7"/>
      <c r="J35" s="7"/>
      <c r="K35" s="7"/>
      <c r="L35" s="30">
        <v>19612000</v>
      </c>
      <c r="M35" s="7"/>
      <c r="N35" s="15">
        <v>21238000</v>
      </c>
      <c r="O35" s="7"/>
      <c r="P35" s="7"/>
      <c r="Q35" s="7"/>
      <c r="R35" s="30">
        <v>21238000</v>
      </c>
      <c r="S35" s="7"/>
      <c r="T35" s="15">
        <v>20087000</v>
      </c>
      <c r="U35" s="7"/>
      <c r="V35" s="7"/>
      <c r="W35" s="7"/>
      <c r="X35" s="30">
        <v>20087000</v>
      </c>
    </row>
  </sheetData>
  <mergeCells count="4">
    <mergeCell ref="B1:F1"/>
    <mergeCell ref="H1:L1"/>
    <mergeCell ref="N1:R1"/>
    <mergeCell ref="T1:X1"/>
  </mergeCells>
  <conditionalFormatting sqref="A4:X8 A11:X17 A21:X29 A31:X32 A34:X35">
    <cfRule type="expression" dxfId="4" priority="1">
      <formula>MOD(ROW(),2)=0</formula>
    </cfRule>
  </conditionalFormatting>
  <pageMargins left="0.7" right="0.7" top="0.75" bottom="0.75" header="0.3" footer="0.3"/>
  <pageSetup scale="55"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66A0-AE95-1745-98EE-0CF991332F40}">
  <sheetPr>
    <tabColor rgb="FF2C6B73"/>
    <pageSetUpPr fitToPage="1"/>
  </sheetPr>
  <dimension ref="A1:X35"/>
  <sheetViews>
    <sheetView showGridLines="0" view="pageBreakPreview" zoomScaleNormal="100" zoomScaleSheetLayoutView="100" workbookViewId="0">
      <selection activeCell="D32" sqref="D32"/>
    </sheetView>
  </sheetViews>
  <sheetFormatPr defaultColWidth="10.88671875" defaultRowHeight="14.4" x14ac:dyDescent="0.3"/>
  <cols>
    <col min="1" max="1" width="45.6640625" bestFit="1" customWidth="1"/>
    <col min="2" max="2" width="12.6640625" customWidth="1"/>
    <col min="3" max="3" width="3.44140625" customWidth="1"/>
    <col min="4" max="4" width="12.6640625" customWidth="1"/>
    <col min="5" max="5" width="3.44140625" customWidth="1"/>
    <col min="6" max="6" width="12.6640625" customWidth="1"/>
    <col min="7" max="7" width="3.44140625" customWidth="1"/>
    <col min="8" max="8" width="12.6640625" customWidth="1"/>
    <col min="9" max="9" width="3.44140625" customWidth="1"/>
    <col min="10" max="10" width="12.6640625" customWidth="1"/>
    <col min="11" max="11" width="3.44140625" customWidth="1"/>
    <col min="12" max="12" width="12.6640625" customWidth="1"/>
    <col min="13" max="13" width="3.44140625" customWidth="1"/>
    <col min="14" max="14" width="12.6640625" customWidth="1"/>
    <col min="15" max="15" width="3.44140625" customWidth="1"/>
    <col min="16" max="16" width="12.6640625" customWidth="1"/>
    <col min="17" max="17" width="3.44140625" customWidth="1"/>
    <col min="18" max="18" width="12.6640625" customWidth="1"/>
    <col min="19" max="19" width="3.44140625" customWidth="1"/>
    <col min="20" max="20" width="12.6640625" customWidth="1"/>
    <col min="21" max="21" width="3.44140625" customWidth="1"/>
    <col min="22" max="22" width="12.6640625" customWidth="1"/>
    <col min="23" max="23" width="3.44140625" customWidth="1"/>
    <col min="24" max="24" width="12.6640625" customWidth="1"/>
  </cols>
  <sheetData>
    <row r="1" spans="1:24" ht="15" x14ac:dyDescent="0.35">
      <c r="A1" s="7"/>
      <c r="B1" s="76" t="s">
        <v>119</v>
      </c>
      <c r="C1" s="76"/>
      <c r="D1" s="76"/>
      <c r="E1" s="76"/>
      <c r="F1" s="76"/>
      <c r="G1" s="7"/>
      <c r="H1" s="76" t="s">
        <v>120</v>
      </c>
      <c r="I1" s="76"/>
      <c r="J1" s="76"/>
      <c r="K1" s="76"/>
      <c r="L1" s="76"/>
      <c r="M1" s="7"/>
      <c r="N1" s="76" t="s">
        <v>121</v>
      </c>
      <c r="O1" s="76"/>
      <c r="P1" s="76"/>
      <c r="Q1" s="76"/>
      <c r="R1" s="76"/>
      <c r="S1" s="7"/>
      <c r="T1" s="76" t="s">
        <v>136</v>
      </c>
      <c r="U1" s="76"/>
      <c r="V1" s="76"/>
      <c r="W1" s="76"/>
      <c r="X1" s="76"/>
    </row>
    <row r="2" spans="1:24" ht="45"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 x14ac:dyDescent="0.35">
      <c r="A3" s="7" t="s">
        <v>91</v>
      </c>
      <c r="B3" s="7"/>
      <c r="C3" s="7"/>
      <c r="D3" s="7"/>
      <c r="E3" s="7"/>
      <c r="F3" s="7"/>
      <c r="G3" s="7"/>
      <c r="H3" s="7"/>
      <c r="I3" s="7"/>
      <c r="J3" s="7"/>
      <c r="K3" s="7"/>
      <c r="L3" s="7"/>
      <c r="M3" s="7"/>
      <c r="N3" s="7"/>
      <c r="O3" s="7"/>
      <c r="P3" s="7"/>
      <c r="Q3" s="7"/>
      <c r="R3" s="7"/>
      <c r="S3" s="7"/>
      <c r="T3" s="7"/>
      <c r="U3" s="7"/>
      <c r="V3" s="7"/>
      <c r="W3" s="7"/>
      <c r="X3" s="7"/>
    </row>
    <row r="4" spans="1:24" ht="15" x14ac:dyDescent="0.35">
      <c r="A4" s="7" t="s">
        <v>92</v>
      </c>
      <c r="B4" s="15">
        <v>4555000</v>
      </c>
      <c r="C4" s="24"/>
      <c r="D4" s="24">
        <v>-1385000</v>
      </c>
      <c r="E4" s="24"/>
      <c r="F4" s="15">
        <v>3170000</v>
      </c>
      <c r="G4" s="7"/>
      <c r="H4" s="15">
        <v>4179000</v>
      </c>
      <c r="I4" s="24"/>
      <c r="J4" s="24">
        <v>-953000</v>
      </c>
      <c r="K4" s="24"/>
      <c r="L4" s="15">
        <v>3226000</v>
      </c>
      <c r="M4" s="7"/>
      <c r="N4" s="15">
        <v>7242000</v>
      </c>
      <c r="O4" s="24"/>
      <c r="P4" s="24">
        <v>-712000</v>
      </c>
      <c r="Q4" s="24"/>
      <c r="R4" s="15">
        <v>6530000</v>
      </c>
      <c r="S4" s="7"/>
      <c r="T4" s="15">
        <v>4587000</v>
      </c>
      <c r="U4" s="24"/>
      <c r="V4" s="24">
        <f>X4-T4</f>
        <v>-634000</v>
      </c>
      <c r="W4" s="24"/>
      <c r="X4" s="15">
        <v>3953000</v>
      </c>
    </row>
    <row r="5" spans="1:24" ht="15" x14ac:dyDescent="0.35">
      <c r="A5" s="7" t="s">
        <v>3</v>
      </c>
      <c r="B5" s="15">
        <v>171000</v>
      </c>
      <c r="C5" s="24"/>
      <c r="D5" s="24">
        <v>-5000</v>
      </c>
      <c r="E5" s="24"/>
      <c r="F5" s="15">
        <v>166000</v>
      </c>
      <c r="G5" s="7"/>
      <c r="H5" s="15">
        <v>33000</v>
      </c>
      <c r="I5" s="24"/>
      <c r="J5" s="24">
        <v>-17000</v>
      </c>
      <c r="K5" s="24"/>
      <c r="L5" s="15">
        <v>16000</v>
      </c>
      <c r="M5" s="7"/>
      <c r="N5" s="15">
        <v>174000</v>
      </c>
      <c r="O5" s="24"/>
      <c r="P5" s="24">
        <v>1000</v>
      </c>
      <c r="Q5" s="24"/>
      <c r="R5" s="15">
        <v>175000</v>
      </c>
      <c r="S5" s="7"/>
      <c r="T5" s="15">
        <v>1000</v>
      </c>
      <c r="U5" s="24"/>
      <c r="V5" s="24">
        <f t="shared" ref="V5:V7" si="0">X5-T5</f>
        <v>0</v>
      </c>
      <c r="W5" s="24"/>
      <c r="X5" s="15">
        <v>1000</v>
      </c>
    </row>
    <row r="6" spans="1:24" ht="15" x14ac:dyDescent="0.35">
      <c r="A6" s="7" t="s">
        <v>93</v>
      </c>
      <c r="B6" s="15">
        <v>0</v>
      </c>
      <c r="C6" s="24"/>
      <c r="D6" s="24">
        <v>18145000</v>
      </c>
      <c r="E6" s="24"/>
      <c r="F6" s="15">
        <v>18145000</v>
      </c>
      <c r="G6" s="7"/>
      <c r="H6" s="15">
        <v>0</v>
      </c>
      <c r="I6" s="24"/>
      <c r="J6" s="24">
        <v>2894000</v>
      </c>
      <c r="K6" s="24"/>
      <c r="L6" s="15">
        <v>2894000</v>
      </c>
      <c r="M6" s="7"/>
      <c r="N6" s="15">
        <v>0</v>
      </c>
      <c r="O6" s="24"/>
      <c r="P6" s="24">
        <v>2494000</v>
      </c>
      <c r="Q6" s="24"/>
      <c r="R6" s="15">
        <v>2494000</v>
      </c>
      <c r="S6" s="7"/>
      <c r="T6" s="15">
        <v>0</v>
      </c>
      <c r="U6" s="24"/>
      <c r="V6" s="24">
        <f t="shared" si="0"/>
        <v>2943000</v>
      </c>
      <c r="W6" s="24"/>
      <c r="X6" s="15">
        <v>2943000</v>
      </c>
    </row>
    <row r="7" spans="1:24" ht="15" x14ac:dyDescent="0.35">
      <c r="A7" s="7" t="s">
        <v>94</v>
      </c>
      <c r="B7" s="15">
        <v>0</v>
      </c>
      <c r="C7" s="24"/>
      <c r="D7" s="24">
        <v>1470000</v>
      </c>
      <c r="E7" s="24"/>
      <c r="F7" s="15">
        <v>1470000</v>
      </c>
      <c r="G7" s="7"/>
      <c r="H7" s="15">
        <v>0</v>
      </c>
      <c r="I7" s="24"/>
      <c r="J7" s="24">
        <v>2043000</v>
      </c>
      <c r="K7" s="24"/>
      <c r="L7" s="15">
        <v>2043000</v>
      </c>
      <c r="M7" s="7"/>
      <c r="N7" s="15">
        <v>0</v>
      </c>
      <c r="O7" s="24"/>
      <c r="P7" s="24">
        <v>2103000</v>
      </c>
      <c r="Q7" s="24"/>
      <c r="R7" s="15">
        <v>2103000</v>
      </c>
      <c r="S7" s="7"/>
      <c r="T7" s="15">
        <v>0</v>
      </c>
      <c r="U7" s="24"/>
      <c r="V7" s="24">
        <f t="shared" si="0"/>
        <v>1790000</v>
      </c>
      <c r="W7" s="24"/>
      <c r="X7" s="15">
        <v>1790000</v>
      </c>
    </row>
    <row r="8" spans="1:24" ht="15" x14ac:dyDescent="0.35">
      <c r="A8" s="7" t="s">
        <v>95</v>
      </c>
      <c r="B8" s="14">
        <v>4726000</v>
      </c>
      <c r="C8" s="24"/>
      <c r="D8" s="27">
        <v>18225000</v>
      </c>
      <c r="E8" s="24"/>
      <c r="F8" s="14">
        <v>22951000</v>
      </c>
      <c r="G8" s="7"/>
      <c r="H8" s="14">
        <v>4212000</v>
      </c>
      <c r="I8" s="24"/>
      <c r="J8" s="27">
        <v>3967000</v>
      </c>
      <c r="K8" s="24"/>
      <c r="L8" s="14">
        <v>8179000</v>
      </c>
      <c r="M8" s="7"/>
      <c r="N8" s="14">
        <v>7416000</v>
      </c>
      <c r="O8" s="24"/>
      <c r="P8" s="27">
        <v>3886000</v>
      </c>
      <c r="Q8" s="24"/>
      <c r="R8" s="14">
        <v>11302000</v>
      </c>
      <c r="S8" s="7"/>
      <c r="T8" s="14">
        <f>SUM(T4:T7)</f>
        <v>4588000</v>
      </c>
      <c r="U8" s="24"/>
      <c r="V8" s="27">
        <f>SUM(V4:V7)</f>
        <v>4099000</v>
      </c>
      <c r="W8" s="24"/>
      <c r="X8" s="27">
        <f>SUM(X4:X7)</f>
        <v>8687000</v>
      </c>
    </row>
    <row r="9" spans="1:24" ht="15" x14ac:dyDescent="0.35">
      <c r="A9" s="7"/>
      <c r="B9" s="15"/>
      <c r="C9" s="24"/>
      <c r="D9" s="24"/>
      <c r="E9" s="24"/>
      <c r="F9" s="15"/>
      <c r="G9" s="7"/>
      <c r="H9" s="15"/>
      <c r="I9" s="24"/>
      <c r="J9" s="24"/>
      <c r="K9" s="24"/>
      <c r="L9" s="15"/>
      <c r="M9" s="7"/>
      <c r="N9" s="15"/>
      <c r="O9" s="24"/>
      <c r="P9" s="24"/>
      <c r="Q9" s="24"/>
      <c r="R9" s="15"/>
      <c r="S9" s="7"/>
      <c r="T9" s="15"/>
      <c r="U9" s="24"/>
      <c r="V9" s="24"/>
      <c r="W9" s="24"/>
      <c r="X9" s="15"/>
    </row>
    <row r="10" spans="1:24" ht="15" x14ac:dyDescent="0.35">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 x14ac:dyDescent="0.35">
      <c r="A11" s="7" t="s">
        <v>6</v>
      </c>
      <c r="B11" s="15">
        <v>5484000</v>
      </c>
      <c r="C11" s="24"/>
      <c r="D11" s="24">
        <v>-222000</v>
      </c>
      <c r="E11" s="24"/>
      <c r="F11" s="15">
        <v>5262000</v>
      </c>
      <c r="G11" s="7"/>
      <c r="H11" s="15">
        <v>5760000</v>
      </c>
      <c r="I11" s="24"/>
      <c r="J11" s="24">
        <v>-225000</v>
      </c>
      <c r="K11" s="24"/>
      <c r="L11" s="15">
        <v>5535000</v>
      </c>
      <c r="M11" s="7"/>
      <c r="N11" s="15">
        <v>4727000</v>
      </c>
      <c r="O11" s="24"/>
      <c r="P11" s="24">
        <v>-135000</v>
      </c>
      <c r="Q11" s="24"/>
      <c r="R11" s="15">
        <v>4592000</v>
      </c>
      <c r="S11" s="7"/>
      <c r="T11" s="15">
        <v>8933000</v>
      </c>
      <c r="U11" s="24"/>
      <c r="V11" s="24">
        <f t="shared" ref="V11:V16" si="1">X11-T11</f>
        <v>-383000</v>
      </c>
      <c r="W11" s="24"/>
      <c r="X11" s="15">
        <v>8550000</v>
      </c>
    </row>
    <row r="12" spans="1:24" ht="15" x14ac:dyDescent="0.35">
      <c r="A12" s="7" t="s">
        <v>7</v>
      </c>
      <c r="B12" s="15">
        <v>1949000</v>
      </c>
      <c r="C12" s="24"/>
      <c r="D12" s="24">
        <v>-9000</v>
      </c>
      <c r="E12" s="24"/>
      <c r="F12" s="15">
        <v>1940000</v>
      </c>
      <c r="G12" s="7"/>
      <c r="H12" s="15">
        <v>2091000</v>
      </c>
      <c r="I12" s="24"/>
      <c r="J12" s="24">
        <v>-12000</v>
      </c>
      <c r="K12" s="24"/>
      <c r="L12" s="15">
        <v>2079000</v>
      </c>
      <c r="M12" s="7"/>
      <c r="N12" s="15">
        <v>1450000</v>
      </c>
      <c r="O12" s="24"/>
      <c r="P12" s="24">
        <v>-9000</v>
      </c>
      <c r="Q12" s="24"/>
      <c r="R12" s="15">
        <v>1441000</v>
      </c>
      <c r="S12" s="7"/>
      <c r="T12" s="15">
        <v>1327000</v>
      </c>
      <c r="U12" s="24"/>
      <c r="V12" s="24">
        <f t="shared" si="1"/>
        <v>-11000</v>
      </c>
      <c r="W12" s="24"/>
      <c r="X12" s="15">
        <v>1316000</v>
      </c>
    </row>
    <row r="13" spans="1:24" ht="15" x14ac:dyDescent="0.35">
      <c r="A13" s="7" t="s">
        <v>8</v>
      </c>
      <c r="B13" s="15">
        <v>106000</v>
      </c>
      <c r="C13" s="24"/>
      <c r="D13" s="24">
        <v>0</v>
      </c>
      <c r="E13" s="24"/>
      <c r="F13" s="15">
        <v>106000</v>
      </c>
      <c r="G13" s="7"/>
      <c r="H13" s="15">
        <v>227000</v>
      </c>
      <c r="I13" s="24"/>
      <c r="J13" s="24">
        <v>0</v>
      </c>
      <c r="K13" s="24"/>
      <c r="L13" s="15">
        <v>227000</v>
      </c>
      <c r="M13" s="7"/>
      <c r="N13" s="15">
        <v>175000</v>
      </c>
      <c r="O13" s="24"/>
      <c r="P13" s="24">
        <v>-1000</v>
      </c>
      <c r="Q13" s="24"/>
      <c r="R13" s="15">
        <v>174000</v>
      </c>
      <c r="S13" s="7"/>
      <c r="T13" s="15">
        <v>243000</v>
      </c>
      <c r="U13" s="24"/>
      <c r="V13" s="24">
        <f t="shared" si="1"/>
        <v>1000</v>
      </c>
      <c r="W13" s="24"/>
      <c r="X13" s="15">
        <v>244000</v>
      </c>
    </row>
    <row r="14" spans="1:24" ht="15" x14ac:dyDescent="0.35">
      <c r="A14" s="7" t="s">
        <v>9</v>
      </c>
      <c r="B14" s="15">
        <v>183000</v>
      </c>
      <c r="C14" s="24"/>
      <c r="D14" s="24">
        <v>-37000</v>
      </c>
      <c r="E14" s="24"/>
      <c r="F14" s="15">
        <v>146000</v>
      </c>
      <c r="G14" s="7"/>
      <c r="H14" s="15">
        <v>119000</v>
      </c>
      <c r="I14" s="24"/>
      <c r="J14" s="24">
        <v>25000</v>
      </c>
      <c r="K14" s="24"/>
      <c r="L14" s="15">
        <v>144000</v>
      </c>
      <c r="M14" s="7"/>
      <c r="N14" s="15">
        <v>145000</v>
      </c>
      <c r="O14" s="24"/>
      <c r="P14" s="24">
        <v>4000</v>
      </c>
      <c r="Q14" s="24"/>
      <c r="R14" s="15">
        <v>149000</v>
      </c>
      <c r="S14" s="7"/>
      <c r="T14" s="15">
        <v>151000</v>
      </c>
      <c r="U14" s="24"/>
      <c r="V14" s="24">
        <f t="shared" si="1"/>
        <v>3000</v>
      </c>
      <c r="W14" s="24"/>
      <c r="X14" s="15">
        <v>154000</v>
      </c>
    </row>
    <row r="15" spans="1:24" ht="15" x14ac:dyDescent="0.35">
      <c r="A15" s="7" t="s">
        <v>97</v>
      </c>
      <c r="B15" s="15">
        <v>0</v>
      </c>
      <c r="C15" s="24"/>
      <c r="D15" s="24">
        <v>16782000</v>
      </c>
      <c r="E15" s="24"/>
      <c r="F15" s="15">
        <v>16782000</v>
      </c>
      <c r="G15" s="7"/>
      <c r="H15" s="15">
        <v>0</v>
      </c>
      <c r="I15" s="24"/>
      <c r="J15" s="24">
        <v>3312000</v>
      </c>
      <c r="K15" s="24"/>
      <c r="L15" s="15">
        <v>3312000</v>
      </c>
      <c r="M15" s="7"/>
      <c r="N15" s="15">
        <v>0</v>
      </c>
      <c r="O15" s="24"/>
      <c r="P15" s="24">
        <v>3097000</v>
      </c>
      <c r="Q15" s="24"/>
      <c r="R15" s="15">
        <v>3097000</v>
      </c>
      <c r="S15" s="7"/>
      <c r="T15" s="15">
        <v>0</v>
      </c>
      <c r="U15" s="24"/>
      <c r="V15" s="24">
        <f t="shared" si="1"/>
        <v>3312000</v>
      </c>
      <c r="W15" s="24"/>
      <c r="X15" s="15">
        <v>3312000</v>
      </c>
    </row>
    <row r="16" spans="1:24" ht="15" x14ac:dyDescent="0.35">
      <c r="A16" s="7" t="s">
        <v>98</v>
      </c>
      <c r="B16" s="15">
        <v>0</v>
      </c>
      <c r="C16" s="24"/>
      <c r="D16" s="24">
        <v>3072000</v>
      </c>
      <c r="E16" s="24"/>
      <c r="F16" s="15">
        <v>3072000</v>
      </c>
      <c r="G16" s="7"/>
      <c r="H16" s="15">
        <v>0</v>
      </c>
      <c r="I16" s="24"/>
      <c r="J16" s="24">
        <v>1358000</v>
      </c>
      <c r="K16" s="24"/>
      <c r="L16" s="15">
        <v>1358000</v>
      </c>
      <c r="M16" s="7"/>
      <c r="N16" s="15">
        <v>0</v>
      </c>
      <c r="O16" s="24"/>
      <c r="P16" s="24">
        <v>975000</v>
      </c>
      <c r="Q16" s="24"/>
      <c r="R16" s="15">
        <v>975000</v>
      </c>
      <c r="S16" s="7"/>
      <c r="T16" s="15">
        <v>0</v>
      </c>
      <c r="U16" s="24"/>
      <c r="V16" s="24">
        <f t="shared" si="1"/>
        <v>465000</v>
      </c>
      <c r="W16" s="24"/>
      <c r="X16" s="15">
        <v>465000</v>
      </c>
    </row>
    <row r="17" spans="1:24" ht="15" x14ac:dyDescent="0.35">
      <c r="A17" s="7" t="s">
        <v>99</v>
      </c>
      <c r="B17" s="14">
        <v>7722000</v>
      </c>
      <c r="C17" s="24"/>
      <c r="D17" s="27">
        <v>19586000</v>
      </c>
      <c r="E17" s="24"/>
      <c r="F17" s="14">
        <v>27308000</v>
      </c>
      <c r="G17" s="7"/>
      <c r="H17" s="14">
        <v>8197000</v>
      </c>
      <c r="I17" s="24"/>
      <c r="J17" s="27">
        <v>4458000</v>
      </c>
      <c r="K17" s="24"/>
      <c r="L17" s="14">
        <v>12655000</v>
      </c>
      <c r="M17" s="7"/>
      <c r="N17" s="14">
        <v>6497000</v>
      </c>
      <c r="O17" s="24"/>
      <c r="P17" s="27">
        <v>3931000</v>
      </c>
      <c r="Q17" s="24"/>
      <c r="R17" s="14">
        <v>10428000</v>
      </c>
      <c r="S17" s="7"/>
      <c r="T17" s="27">
        <f>SUM(T11:T16)</f>
        <v>10654000</v>
      </c>
      <c r="U17" s="24"/>
      <c r="V17" s="27">
        <f>SUM(V11:V16)</f>
        <v>3387000</v>
      </c>
      <c r="W17" s="24"/>
      <c r="X17" s="27">
        <f>SUM(X11:X16)</f>
        <v>14041000</v>
      </c>
    </row>
    <row r="18" spans="1:24" ht="15" x14ac:dyDescent="0.35">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4" ht="15" x14ac:dyDescent="0.35">
      <c r="A19" s="7" t="s">
        <v>100</v>
      </c>
      <c r="B19" s="15">
        <v>0</v>
      </c>
      <c r="C19" s="24"/>
      <c r="D19" s="24">
        <v>0</v>
      </c>
      <c r="E19" s="24"/>
      <c r="F19" s="15">
        <v>0</v>
      </c>
      <c r="G19" s="7"/>
      <c r="H19" s="15">
        <v>0</v>
      </c>
      <c r="I19" s="24"/>
      <c r="J19" s="24">
        <v>0</v>
      </c>
      <c r="K19" s="24"/>
      <c r="L19" s="15">
        <v>0</v>
      </c>
      <c r="M19" s="7"/>
      <c r="N19" s="15">
        <v>0</v>
      </c>
      <c r="O19" s="24"/>
      <c r="P19" s="24">
        <v>0</v>
      </c>
      <c r="Q19" s="24"/>
      <c r="R19" s="15">
        <v>0</v>
      </c>
      <c r="S19" s="7"/>
      <c r="T19" s="15">
        <v>0</v>
      </c>
      <c r="U19" s="24"/>
      <c r="V19" s="24">
        <f>X19-T19</f>
        <v>0</v>
      </c>
      <c r="W19" s="24"/>
      <c r="X19" s="15">
        <v>0</v>
      </c>
    </row>
    <row r="20" spans="1:24" ht="15" x14ac:dyDescent="0.35">
      <c r="A20" s="7"/>
      <c r="B20" s="15"/>
      <c r="C20" s="24"/>
      <c r="D20" s="24"/>
      <c r="E20" s="24"/>
      <c r="F20" s="15"/>
      <c r="G20" s="7"/>
      <c r="H20" s="15"/>
      <c r="I20" s="24"/>
      <c r="J20" s="24"/>
      <c r="K20" s="24"/>
      <c r="L20" s="15"/>
      <c r="M20" s="7"/>
      <c r="N20" s="15"/>
      <c r="O20" s="24"/>
      <c r="P20" s="24"/>
      <c r="Q20" s="24"/>
      <c r="R20" s="15"/>
      <c r="S20" s="7"/>
      <c r="T20" s="15"/>
      <c r="U20" s="24"/>
      <c r="V20" s="24"/>
      <c r="W20" s="24"/>
      <c r="X20" s="15"/>
    </row>
    <row r="21" spans="1:24" ht="15" x14ac:dyDescent="0.35">
      <c r="A21" s="7" t="s">
        <v>101</v>
      </c>
      <c r="B21" s="15">
        <v>452000</v>
      </c>
      <c r="C21" s="24"/>
      <c r="D21" s="24">
        <v>-180000</v>
      </c>
      <c r="E21" s="24"/>
      <c r="F21" s="15">
        <v>272000</v>
      </c>
      <c r="G21" s="7"/>
      <c r="H21" s="15">
        <v>490000</v>
      </c>
      <c r="I21" s="24"/>
      <c r="J21" s="24">
        <v>-172000</v>
      </c>
      <c r="K21" s="24"/>
      <c r="L21" s="15">
        <v>318000</v>
      </c>
      <c r="M21" s="7"/>
      <c r="N21" s="15">
        <v>526000</v>
      </c>
      <c r="O21" s="24"/>
      <c r="P21" s="24">
        <v>-101000</v>
      </c>
      <c r="Q21" s="24"/>
      <c r="R21" s="15">
        <v>425000</v>
      </c>
      <c r="S21" s="7"/>
      <c r="T21" s="15">
        <v>4122000</v>
      </c>
      <c r="U21" s="24"/>
      <c r="V21" s="24">
        <f t="shared" ref="V21:V24" si="2">X21-T21</f>
        <v>-14000</v>
      </c>
      <c r="W21" s="24"/>
      <c r="X21" s="15">
        <v>4108000</v>
      </c>
    </row>
    <row r="22" spans="1:24" ht="15" x14ac:dyDescent="0.35">
      <c r="A22" s="7" t="s">
        <v>12</v>
      </c>
      <c r="B22" s="15">
        <v>0</v>
      </c>
      <c r="C22" s="24"/>
      <c r="D22" s="24">
        <v>0</v>
      </c>
      <c r="E22" s="24"/>
      <c r="F22" s="15">
        <v>0</v>
      </c>
      <c r="G22" s="7"/>
      <c r="H22" s="15">
        <v>0</v>
      </c>
      <c r="I22" s="24"/>
      <c r="J22" s="24">
        <v>0</v>
      </c>
      <c r="K22" s="24"/>
      <c r="L22" s="15">
        <v>0</v>
      </c>
      <c r="M22" s="7"/>
      <c r="N22" s="15">
        <v>0</v>
      </c>
      <c r="O22" s="24"/>
      <c r="P22" s="24">
        <v>0</v>
      </c>
      <c r="Q22" s="24"/>
      <c r="R22" s="15">
        <v>0</v>
      </c>
      <c r="S22" s="7"/>
      <c r="T22" s="15">
        <v>0</v>
      </c>
      <c r="U22" s="24"/>
      <c r="V22" s="24">
        <f t="shared" si="2"/>
        <v>0</v>
      </c>
      <c r="W22" s="24"/>
      <c r="X22" s="15">
        <v>0</v>
      </c>
    </row>
    <row r="23" spans="1:24" ht="15" x14ac:dyDescent="0.35">
      <c r="A23" s="7" t="s">
        <v>13</v>
      </c>
      <c r="B23" s="15">
        <v>285000</v>
      </c>
      <c r="C23" s="24"/>
      <c r="D23" s="24">
        <v>-168000</v>
      </c>
      <c r="E23" s="24"/>
      <c r="F23" s="15">
        <v>117000</v>
      </c>
      <c r="G23" s="7"/>
      <c r="H23" s="15">
        <v>170000</v>
      </c>
      <c r="I23" s="24"/>
      <c r="J23" s="24">
        <v>-13000</v>
      </c>
      <c r="K23" s="24"/>
      <c r="L23" s="15">
        <v>157000</v>
      </c>
      <c r="M23" s="7"/>
      <c r="N23" s="15">
        <v>59000</v>
      </c>
      <c r="O23" s="24"/>
      <c r="P23" s="24">
        <v>-8000</v>
      </c>
      <c r="Q23" s="24"/>
      <c r="R23" s="15">
        <v>51000</v>
      </c>
      <c r="S23" s="7"/>
      <c r="T23" s="15">
        <v>-45000</v>
      </c>
      <c r="U23" s="24"/>
      <c r="V23" s="24">
        <f>X23-T23</f>
        <v>10000</v>
      </c>
      <c r="W23" s="24"/>
      <c r="X23" s="15">
        <v>-35000</v>
      </c>
    </row>
    <row r="24" spans="1:24" ht="15" x14ac:dyDescent="0.35">
      <c r="A24" s="7" t="s">
        <v>14</v>
      </c>
      <c r="B24" s="19">
        <v>-1295000</v>
      </c>
      <c r="C24" s="24"/>
      <c r="D24" s="28">
        <v>1000</v>
      </c>
      <c r="E24" s="24"/>
      <c r="F24" s="19">
        <v>-1294000</v>
      </c>
      <c r="G24" s="7"/>
      <c r="H24" s="19">
        <v>-1315000</v>
      </c>
      <c r="I24" s="24"/>
      <c r="J24" s="28">
        <v>0</v>
      </c>
      <c r="K24" s="24"/>
      <c r="L24" s="19">
        <v>-1315000</v>
      </c>
      <c r="M24" s="7"/>
      <c r="N24" s="19">
        <v>-1348000</v>
      </c>
      <c r="O24" s="24"/>
      <c r="P24" s="28">
        <v>-1000</v>
      </c>
      <c r="Q24" s="24"/>
      <c r="R24" s="19">
        <v>-1349000</v>
      </c>
      <c r="S24" s="7"/>
      <c r="T24" s="19">
        <v>1466000</v>
      </c>
      <c r="U24" s="24"/>
      <c r="V24" s="28">
        <f t="shared" si="2"/>
        <v>0</v>
      </c>
      <c r="W24" s="24"/>
      <c r="X24" s="19">
        <v>1466000</v>
      </c>
    </row>
    <row r="25" spans="1:24" ht="15" x14ac:dyDescent="0.35">
      <c r="A25" s="7" t="s">
        <v>102</v>
      </c>
      <c r="B25" s="15">
        <v>-3554000</v>
      </c>
      <c r="C25" s="24"/>
      <c r="D25" s="15">
        <v>-1708000</v>
      </c>
      <c r="E25" s="24"/>
      <c r="F25" s="15">
        <v>-5262000</v>
      </c>
      <c r="G25" s="7"/>
      <c r="H25" s="15">
        <v>-4640000</v>
      </c>
      <c r="I25" s="24"/>
      <c r="J25" s="15">
        <v>-676000</v>
      </c>
      <c r="K25" s="24"/>
      <c r="L25" s="15">
        <v>-5316000</v>
      </c>
      <c r="M25" s="7"/>
      <c r="N25" s="15">
        <v>156000</v>
      </c>
      <c r="O25" s="24"/>
      <c r="P25" s="15">
        <v>-155000</v>
      </c>
      <c r="Q25" s="24"/>
      <c r="R25" s="15">
        <v>1000</v>
      </c>
      <c r="S25" s="7"/>
      <c r="T25" s="15">
        <f>T8-T17-SUM(T19:T24)</f>
        <v>-11609000</v>
      </c>
      <c r="U25" s="24"/>
      <c r="V25" s="15">
        <f>V8-V17-SUM(V19:V24)</f>
        <v>716000</v>
      </c>
      <c r="W25" s="24"/>
      <c r="X25" s="15">
        <f>X8-X17-SUM(X19:X24)</f>
        <v>-10893000</v>
      </c>
    </row>
    <row r="26" spans="1:24" ht="15" x14ac:dyDescent="0.35">
      <c r="A26" s="7" t="s">
        <v>76</v>
      </c>
      <c r="B26" s="19">
        <v>0</v>
      </c>
      <c r="C26" s="24"/>
      <c r="D26" s="28">
        <v>0</v>
      </c>
      <c r="E26" s="24"/>
      <c r="F26" s="19">
        <v>0</v>
      </c>
      <c r="G26" s="7"/>
      <c r="H26" s="19">
        <v>0</v>
      </c>
      <c r="I26" s="24"/>
      <c r="J26" s="28">
        <v>0</v>
      </c>
      <c r="K26" s="24"/>
      <c r="L26" s="19">
        <v>0</v>
      </c>
      <c r="M26" s="7"/>
      <c r="N26" s="19">
        <v>0</v>
      </c>
      <c r="O26" s="24"/>
      <c r="P26" s="28">
        <v>0</v>
      </c>
      <c r="Q26" s="24"/>
      <c r="R26" s="19">
        <v>0</v>
      </c>
      <c r="S26" s="7"/>
      <c r="T26" s="19">
        <v>0</v>
      </c>
      <c r="U26" s="24"/>
      <c r="V26" s="28">
        <v>0</v>
      </c>
      <c r="W26" s="24"/>
      <c r="X26" s="19">
        <v>0</v>
      </c>
    </row>
    <row r="27" spans="1:24" ht="15" x14ac:dyDescent="0.35">
      <c r="A27" s="7" t="s">
        <v>103</v>
      </c>
      <c r="B27" s="15">
        <v>-3554000</v>
      </c>
      <c r="C27" s="24"/>
      <c r="D27" s="24">
        <v>-1708000</v>
      </c>
      <c r="E27" s="24"/>
      <c r="F27" s="15">
        <v>-5262000</v>
      </c>
      <c r="G27" s="7"/>
      <c r="H27" s="15">
        <v>-4640000</v>
      </c>
      <c r="I27" s="24"/>
      <c r="J27" s="24">
        <v>-676000</v>
      </c>
      <c r="K27" s="24"/>
      <c r="L27" s="15">
        <v>-5316000</v>
      </c>
      <c r="M27" s="7"/>
      <c r="N27" s="15">
        <v>156000</v>
      </c>
      <c r="O27" s="24"/>
      <c r="P27" s="24">
        <v>-155000</v>
      </c>
      <c r="Q27" s="24"/>
      <c r="R27" s="15">
        <v>1000</v>
      </c>
      <c r="S27" s="7"/>
      <c r="T27" s="15">
        <f>SUM(T25:T26)</f>
        <v>-11609000</v>
      </c>
      <c r="U27" s="24"/>
      <c r="V27" s="15">
        <f>SUM(V25:V26)</f>
        <v>716000</v>
      </c>
      <c r="W27" s="24"/>
      <c r="X27" s="15">
        <f>SUM(X25:X26)</f>
        <v>-10893000</v>
      </c>
    </row>
    <row r="28" spans="1:24" ht="15" x14ac:dyDescent="0.35">
      <c r="A28" s="7" t="s">
        <v>104</v>
      </c>
      <c r="B28" s="15">
        <v>0</v>
      </c>
      <c r="C28" s="24"/>
      <c r="D28" s="24">
        <v>-1457000</v>
      </c>
      <c r="E28" s="24"/>
      <c r="F28" s="15">
        <v>-1457000</v>
      </c>
      <c r="G28" s="7"/>
      <c r="H28" s="15">
        <v>0</v>
      </c>
      <c r="I28" s="24"/>
      <c r="J28" s="24">
        <v>-586000</v>
      </c>
      <c r="K28" s="24"/>
      <c r="L28" s="15">
        <v>-586000</v>
      </c>
      <c r="M28" s="7"/>
      <c r="N28" s="15">
        <v>0</v>
      </c>
      <c r="O28" s="24"/>
      <c r="P28" s="24">
        <v>-145000</v>
      </c>
      <c r="Q28" s="24"/>
      <c r="R28" s="15">
        <v>-145000</v>
      </c>
      <c r="S28" s="7"/>
      <c r="T28" s="15">
        <v>0</v>
      </c>
      <c r="U28" s="24"/>
      <c r="V28" s="24">
        <f t="shared" ref="V28" si="3">X28-T28</f>
        <v>-495000</v>
      </c>
      <c r="W28" s="24"/>
      <c r="X28" s="15">
        <v>-495000</v>
      </c>
    </row>
    <row r="29" spans="1:24" ht="15.6" thickBot="1" x14ac:dyDescent="0.4">
      <c r="A29" s="7" t="s">
        <v>105</v>
      </c>
      <c r="B29" s="33">
        <v>-3554000</v>
      </c>
      <c r="C29" s="24"/>
      <c r="D29" s="33">
        <v>-251000</v>
      </c>
      <c r="E29" s="24"/>
      <c r="F29" s="38">
        <v>-3805000</v>
      </c>
      <c r="G29" s="7"/>
      <c r="H29" s="33">
        <v>-4640000</v>
      </c>
      <c r="I29" s="24"/>
      <c r="J29" s="33">
        <v>-90000</v>
      </c>
      <c r="K29" s="24"/>
      <c r="L29" s="38">
        <v>-4730000</v>
      </c>
      <c r="M29" s="7"/>
      <c r="N29" s="33">
        <v>156000</v>
      </c>
      <c r="O29" s="24"/>
      <c r="P29" s="33">
        <v>-10000</v>
      </c>
      <c r="Q29" s="24"/>
      <c r="R29" s="38">
        <v>146000</v>
      </c>
      <c r="S29" s="7"/>
      <c r="T29" s="33">
        <f>SUM(T27:T28)</f>
        <v>-11609000</v>
      </c>
      <c r="U29" s="24"/>
      <c r="V29" s="33">
        <f>SUM(V27:V28)</f>
        <v>221000</v>
      </c>
      <c r="W29" s="24"/>
      <c r="X29" s="33">
        <f>SUM(X27:X28)</f>
        <v>-11388000</v>
      </c>
    </row>
    <row r="30" spans="1:24" ht="15.6" thickTop="1" x14ac:dyDescent="0.35">
      <c r="A30" s="7"/>
      <c r="B30" s="7"/>
      <c r="C30" s="7"/>
      <c r="D30" s="7"/>
      <c r="E30" s="7"/>
      <c r="F30" s="7"/>
      <c r="G30" s="7"/>
      <c r="H30" s="7"/>
      <c r="I30" s="7"/>
      <c r="J30" s="7"/>
      <c r="K30" s="7"/>
      <c r="L30" s="7"/>
      <c r="M30" s="7"/>
      <c r="N30" s="7"/>
      <c r="O30" s="7"/>
      <c r="P30" s="7"/>
      <c r="Q30" s="7"/>
      <c r="R30" s="7"/>
      <c r="S30" s="7"/>
      <c r="T30" s="7"/>
      <c r="U30" s="7"/>
      <c r="V30" s="7"/>
      <c r="W30" s="7"/>
      <c r="X30" s="7"/>
    </row>
    <row r="31" spans="1:24" ht="15" x14ac:dyDescent="0.35">
      <c r="A31" s="7" t="s">
        <v>137</v>
      </c>
      <c r="B31" s="23">
        <v>-0.1649800389935939</v>
      </c>
      <c r="C31" s="7"/>
      <c r="D31" s="7"/>
      <c r="E31" s="7"/>
      <c r="F31" s="23">
        <v>-0.17663169622133507</v>
      </c>
      <c r="G31" s="7"/>
      <c r="H31" s="23">
        <v>-0.2127366924946128</v>
      </c>
      <c r="I31" s="7"/>
      <c r="J31" s="7"/>
      <c r="K31" s="7"/>
      <c r="L31" s="23">
        <v>-0.21686305075420659</v>
      </c>
      <c r="M31" s="7"/>
      <c r="N31" s="23">
        <v>7.0498915401301515E-3</v>
      </c>
      <c r="O31" s="7"/>
      <c r="P31" s="7"/>
      <c r="Q31" s="7"/>
      <c r="R31" s="23">
        <f>R29/R34</f>
        <v>6.5979754157628346E-3</v>
      </c>
      <c r="S31" s="7"/>
      <c r="T31" s="23">
        <f>T29/T34</f>
        <v>-0.51696651229070179</v>
      </c>
      <c r="U31" s="7"/>
      <c r="V31" s="7"/>
      <c r="W31" s="7"/>
      <c r="X31" s="23">
        <f>X29/X34</f>
        <v>-0.50712504453152829</v>
      </c>
    </row>
    <row r="32" spans="1:24" ht="15" x14ac:dyDescent="0.35">
      <c r="A32" s="7" t="s">
        <v>138</v>
      </c>
      <c r="B32" s="23">
        <v>-0.1649800389935939</v>
      </c>
      <c r="C32" s="7"/>
      <c r="D32" s="7"/>
      <c r="E32" s="7"/>
      <c r="F32" s="23">
        <v>-0.17663169622133507</v>
      </c>
      <c r="G32" s="7"/>
      <c r="H32" s="23">
        <v>-0.2127366924946128</v>
      </c>
      <c r="I32" s="7"/>
      <c r="J32" s="7"/>
      <c r="K32" s="7"/>
      <c r="L32" s="23">
        <v>-0.21686305075420659</v>
      </c>
      <c r="M32" s="7"/>
      <c r="N32" s="23">
        <v>6.2733743515502472E-3</v>
      </c>
      <c r="O32" s="7"/>
      <c r="P32" s="7"/>
      <c r="Q32" s="7"/>
      <c r="R32" s="23">
        <f>R29/R35</f>
        <v>5.8712349700406159E-3</v>
      </c>
      <c r="S32" s="7"/>
      <c r="T32" s="23">
        <f>T29/T35</f>
        <v>-0.51696651229070179</v>
      </c>
      <c r="U32" s="7"/>
      <c r="V32" s="7"/>
      <c r="W32" s="7"/>
      <c r="X32" s="23">
        <f>X29/X35</f>
        <v>-0.50712504453152829</v>
      </c>
    </row>
    <row r="33" spans="1:24" ht="15" x14ac:dyDescent="0.35">
      <c r="A33" s="7" t="s">
        <v>108</v>
      </c>
      <c r="B33" s="7"/>
      <c r="C33" s="7"/>
      <c r="D33" s="7"/>
      <c r="E33" s="7"/>
      <c r="F33" s="7"/>
      <c r="G33" s="7"/>
      <c r="H33" s="7"/>
      <c r="I33" s="7"/>
      <c r="J33" s="7"/>
      <c r="K33" s="7"/>
      <c r="L33" s="7"/>
      <c r="M33" s="7"/>
      <c r="N33" s="7"/>
      <c r="O33" s="7"/>
      <c r="P33" s="7"/>
      <c r="Q33" s="7"/>
      <c r="R33" s="7"/>
      <c r="S33" s="7"/>
      <c r="T33" s="7"/>
      <c r="U33" s="7"/>
      <c r="V33" s="7"/>
      <c r="W33" s="7"/>
      <c r="X33" s="7"/>
    </row>
    <row r="34" spans="1:24" ht="15" x14ac:dyDescent="0.35">
      <c r="A34" s="7" t="s">
        <v>19</v>
      </c>
      <c r="B34" s="15">
        <v>21542000</v>
      </c>
      <c r="C34" s="7"/>
      <c r="D34" s="30"/>
      <c r="E34" s="7"/>
      <c r="F34" s="30">
        <v>21542000</v>
      </c>
      <c r="G34" s="7"/>
      <c r="H34" s="15">
        <v>21811000</v>
      </c>
      <c r="I34" s="7"/>
      <c r="J34" s="30"/>
      <c r="K34" s="7"/>
      <c r="L34" s="30">
        <v>21811000</v>
      </c>
      <c r="M34" s="7"/>
      <c r="N34" s="15">
        <v>22128000</v>
      </c>
      <c r="O34" s="7"/>
      <c r="P34" s="30"/>
      <c r="Q34" s="7"/>
      <c r="R34" s="30">
        <v>22128000</v>
      </c>
      <c r="S34" s="7"/>
      <c r="T34" s="15">
        <v>22456000</v>
      </c>
      <c r="U34" s="7"/>
      <c r="V34" s="30"/>
      <c r="W34" s="7"/>
      <c r="X34" s="30">
        <v>22456000</v>
      </c>
    </row>
    <row r="35" spans="1:24" ht="15" x14ac:dyDescent="0.35">
      <c r="A35" s="7" t="s">
        <v>20</v>
      </c>
      <c r="B35" s="15">
        <v>21542000</v>
      </c>
      <c r="C35" s="7"/>
      <c r="D35" s="7"/>
      <c r="E35" s="7"/>
      <c r="F35" s="30">
        <v>21542000</v>
      </c>
      <c r="G35" s="7"/>
      <c r="H35" s="15">
        <v>21811000</v>
      </c>
      <c r="I35" s="7"/>
      <c r="J35" s="7"/>
      <c r="K35" s="7"/>
      <c r="L35" s="30">
        <v>21811000</v>
      </c>
      <c r="M35" s="7"/>
      <c r="N35" s="15">
        <v>24867000</v>
      </c>
      <c r="O35" s="7"/>
      <c r="P35" s="7"/>
      <c r="Q35" s="7"/>
      <c r="R35" s="30">
        <v>24867000</v>
      </c>
      <c r="S35" s="7"/>
      <c r="T35" s="15">
        <v>22456000</v>
      </c>
      <c r="U35" s="7"/>
      <c r="V35" s="7"/>
      <c r="W35" s="7"/>
      <c r="X35" s="30">
        <v>22456000</v>
      </c>
    </row>
  </sheetData>
  <mergeCells count="4">
    <mergeCell ref="B1:F1"/>
    <mergeCell ref="H1:L1"/>
    <mergeCell ref="T1:X1"/>
    <mergeCell ref="N1:R1"/>
  </mergeCells>
  <conditionalFormatting sqref="A4:X8 A11:X17 A21:X29 A31:X32 A34:X35">
    <cfRule type="expression" dxfId="3" priority="1">
      <formula>MOD(ROW(),2)=0</formula>
    </cfRule>
  </conditionalFormatting>
  <pageMargins left="0.7" right="0.7" top="0.75" bottom="0.75" header="0.3" footer="0.3"/>
  <pageSetup scale="52"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E3787-00A3-43A2-99AA-0EB975F53DA6}">
  <sheetPr>
    <tabColor rgb="FF2C6B73"/>
    <pageSetUpPr fitToPage="1"/>
  </sheetPr>
  <dimension ref="A1:Y36"/>
  <sheetViews>
    <sheetView showGridLines="0"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R33" sqref="R33"/>
    </sheetView>
  </sheetViews>
  <sheetFormatPr defaultColWidth="10.88671875" defaultRowHeight="14.4" x14ac:dyDescent="0.3"/>
  <cols>
    <col min="1" max="1" width="45.6640625" bestFit="1" customWidth="1"/>
    <col min="2" max="2" width="12.6640625" customWidth="1"/>
    <col min="3" max="3" width="3.44140625" customWidth="1"/>
    <col min="4" max="4" width="12.6640625" customWidth="1"/>
    <col min="5" max="5" width="3.44140625" customWidth="1"/>
    <col min="6" max="6" width="12.6640625" customWidth="1"/>
    <col min="7" max="7" width="3.44140625" customWidth="1"/>
    <col min="8" max="8" width="12.6640625" customWidth="1"/>
    <col min="9" max="9" width="3.44140625" customWidth="1"/>
    <col min="10" max="10" width="12.6640625" customWidth="1"/>
    <col min="11" max="11" width="3.44140625" customWidth="1"/>
    <col min="12" max="12" width="12.6640625" customWidth="1"/>
    <col min="13" max="13" width="3.44140625" customWidth="1"/>
    <col min="14" max="14" width="12.6640625" customWidth="1"/>
    <col min="15" max="15" width="3.44140625" customWidth="1"/>
    <col min="16" max="16" width="12.6640625" customWidth="1"/>
    <col min="17" max="17" width="3.44140625" customWidth="1"/>
    <col min="18" max="18" width="12.6640625" customWidth="1"/>
    <col min="19" max="19" width="3.44140625" customWidth="1"/>
    <col min="20" max="20" width="12.6640625" customWidth="1"/>
    <col min="21" max="21" width="3.44140625" customWidth="1"/>
    <col min="22" max="22" width="12.6640625" customWidth="1"/>
    <col min="23" max="23" width="3.44140625" customWidth="1"/>
    <col min="24" max="24" width="12.6640625" customWidth="1"/>
  </cols>
  <sheetData>
    <row r="1" spans="1:24" ht="15" x14ac:dyDescent="0.35">
      <c r="A1" s="7"/>
      <c r="B1" s="76" t="s">
        <v>142</v>
      </c>
      <c r="C1" s="76"/>
      <c r="D1" s="76"/>
      <c r="E1" s="76"/>
      <c r="F1" s="76"/>
      <c r="G1" s="7"/>
      <c r="H1" s="76" t="s">
        <v>143</v>
      </c>
      <c r="I1" s="76"/>
      <c r="J1" s="76"/>
      <c r="K1" s="76"/>
      <c r="L1" s="76"/>
      <c r="M1" s="7"/>
      <c r="N1" s="76" t="s">
        <v>144</v>
      </c>
      <c r="O1" s="76"/>
      <c r="P1" s="76"/>
      <c r="Q1" s="76"/>
      <c r="R1" s="76"/>
      <c r="S1" s="7"/>
      <c r="T1" s="76" t="s">
        <v>145</v>
      </c>
      <c r="U1" s="76"/>
      <c r="V1" s="76"/>
      <c r="W1" s="76"/>
      <c r="X1" s="76"/>
    </row>
    <row r="2" spans="1:24" ht="45" x14ac:dyDescent="0.35">
      <c r="A2" s="7"/>
      <c r="B2" s="35" t="s">
        <v>59</v>
      </c>
      <c r="C2" s="7"/>
      <c r="D2" s="37" t="s">
        <v>60</v>
      </c>
      <c r="E2" s="7"/>
      <c r="F2" s="35" t="s">
        <v>61</v>
      </c>
      <c r="G2" s="7"/>
      <c r="H2" s="35" t="s">
        <v>59</v>
      </c>
      <c r="I2" s="7"/>
      <c r="J2" s="37" t="s">
        <v>60</v>
      </c>
      <c r="K2" s="7"/>
      <c r="L2" s="35" t="s">
        <v>61</v>
      </c>
      <c r="M2" s="7"/>
      <c r="N2" s="35" t="s">
        <v>59</v>
      </c>
      <c r="O2" s="7"/>
      <c r="P2" s="37" t="s">
        <v>60</v>
      </c>
      <c r="Q2" s="7"/>
      <c r="R2" s="35" t="s">
        <v>61</v>
      </c>
      <c r="S2" s="7"/>
      <c r="T2" s="35" t="s">
        <v>59</v>
      </c>
      <c r="U2" s="7"/>
      <c r="V2" s="37" t="s">
        <v>60</v>
      </c>
      <c r="W2" s="7"/>
      <c r="X2" s="35" t="s">
        <v>61</v>
      </c>
    </row>
    <row r="3" spans="1:24" ht="15" x14ac:dyDescent="0.35">
      <c r="A3" s="7" t="s">
        <v>91</v>
      </c>
      <c r="B3" s="7"/>
      <c r="C3" s="7"/>
      <c r="D3" s="7"/>
      <c r="E3" s="7"/>
      <c r="F3" s="7"/>
      <c r="G3" s="7"/>
      <c r="H3" s="7"/>
      <c r="I3" s="7"/>
      <c r="J3" s="7"/>
      <c r="K3" s="7"/>
      <c r="L3" s="7"/>
      <c r="M3" s="7"/>
      <c r="N3" s="7"/>
      <c r="O3" s="7"/>
      <c r="P3" s="7"/>
      <c r="Q3" s="7"/>
      <c r="R3" s="7"/>
      <c r="S3" s="7"/>
      <c r="T3" s="7"/>
      <c r="U3" s="7"/>
      <c r="V3" s="7"/>
      <c r="W3" s="7"/>
      <c r="X3" s="7"/>
    </row>
    <row r="4" spans="1:24" ht="15" x14ac:dyDescent="0.35">
      <c r="A4" s="7" t="s">
        <v>92</v>
      </c>
      <c r="B4" s="15">
        <v>3542000</v>
      </c>
      <c r="C4" s="24"/>
      <c r="D4" s="24">
        <f>F4-B4</f>
        <v>-346000</v>
      </c>
      <c r="E4" s="24"/>
      <c r="F4" s="15">
        <v>3196000</v>
      </c>
      <c r="G4" s="7"/>
      <c r="H4" s="15">
        <v>4103000</v>
      </c>
      <c r="I4" s="24"/>
      <c r="J4" s="24">
        <f>L4-H4</f>
        <v>-357000</v>
      </c>
      <c r="K4" s="24"/>
      <c r="L4" s="15">
        <v>3746000</v>
      </c>
      <c r="M4" s="7"/>
      <c r="N4" s="15">
        <v>3514000</v>
      </c>
      <c r="O4" s="24"/>
      <c r="P4" s="24">
        <f>R4-N4</f>
        <v>-28000</v>
      </c>
      <c r="Q4" s="24"/>
      <c r="R4" s="15">
        <v>3486000</v>
      </c>
      <c r="S4" s="7"/>
      <c r="T4" s="15"/>
      <c r="U4" s="24"/>
      <c r="V4" s="24"/>
      <c r="W4" s="24"/>
      <c r="X4" s="15"/>
    </row>
    <row r="5" spans="1:24" ht="15" x14ac:dyDescent="0.35">
      <c r="A5" s="7" t="s">
        <v>3</v>
      </c>
      <c r="B5" s="15">
        <v>7000</v>
      </c>
      <c r="C5" s="24"/>
      <c r="D5" s="24">
        <f t="shared" ref="D5:D7" si="0">F5-B5</f>
        <v>-6000</v>
      </c>
      <c r="E5" s="24"/>
      <c r="F5" s="15">
        <v>1000</v>
      </c>
      <c r="G5" s="7"/>
      <c r="H5" s="15">
        <v>23000</v>
      </c>
      <c r="I5" s="24"/>
      <c r="J5" s="24">
        <f t="shared" ref="J5:J7" si="1">L5-H5</f>
        <v>-1000</v>
      </c>
      <c r="K5" s="24"/>
      <c r="L5" s="15">
        <v>22000</v>
      </c>
      <c r="M5" s="7"/>
      <c r="N5" s="15">
        <v>2000</v>
      </c>
      <c r="O5" s="24"/>
      <c r="P5" s="24">
        <f t="shared" ref="P5:P7" si="2">R5-N5</f>
        <v>0</v>
      </c>
      <c r="Q5" s="24"/>
      <c r="R5" s="15">
        <v>2000</v>
      </c>
      <c r="S5" s="7"/>
      <c r="T5" s="15"/>
      <c r="U5" s="24"/>
      <c r="V5" s="24"/>
      <c r="W5" s="24"/>
      <c r="X5" s="15"/>
    </row>
    <row r="6" spans="1:24" ht="15" x14ac:dyDescent="0.35">
      <c r="A6" s="7" t="s">
        <v>93</v>
      </c>
      <c r="B6" s="15">
        <v>0</v>
      </c>
      <c r="C6" s="24"/>
      <c r="D6" s="24">
        <f t="shared" si="0"/>
        <v>3919000</v>
      </c>
      <c r="E6" s="24"/>
      <c r="F6" s="15">
        <v>3919000</v>
      </c>
      <c r="G6" s="7"/>
      <c r="H6" s="15">
        <v>0</v>
      </c>
      <c r="I6" s="24"/>
      <c r="J6" s="24">
        <f t="shared" si="1"/>
        <v>1138000</v>
      </c>
      <c r="K6" s="24"/>
      <c r="L6" s="15">
        <v>1138000</v>
      </c>
      <c r="M6" s="7"/>
      <c r="N6" s="15">
        <v>0</v>
      </c>
      <c r="O6" s="24"/>
      <c r="P6" s="24">
        <f t="shared" si="2"/>
        <v>0</v>
      </c>
      <c r="Q6" s="24"/>
      <c r="R6" s="15">
        <v>0</v>
      </c>
      <c r="S6" s="7"/>
      <c r="T6" s="15"/>
      <c r="U6" s="24"/>
      <c r="V6" s="24"/>
      <c r="W6" s="24"/>
      <c r="X6" s="15"/>
    </row>
    <row r="7" spans="1:24" ht="15" x14ac:dyDescent="0.35">
      <c r="A7" s="7" t="s">
        <v>94</v>
      </c>
      <c r="B7" s="15">
        <v>0</v>
      </c>
      <c r="C7" s="24"/>
      <c r="D7" s="24">
        <f t="shared" si="0"/>
        <v>145000</v>
      </c>
      <c r="E7" s="24"/>
      <c r="F7" s="15">
        <v>145000</v>
      </c>
      <c r="G7" s="7"/>
      <c r="H7" s="15">
        <v>0</v>
      </c>
      <c r="I7" s="24"/>
      <c r="J7" s="24">
        <f t="shared" si="1"/>
        <v>167000</v>
      </c>
      <c r="K7" s="24"/>
      <c r="L7" s="15">
        <v>167000</v>
      </c>
      <c r="M7" s="7"/>
      <c r="N7" s="15">
        <v>0</v>
      </c>
      <c r="O7" s="24"/>
      <c r="P7" s="24">
        <f t="shared" si="2"/>
        <v>148000</v>
      </c>
      <c r="Q7" s="24"/>
      <c r="R7" s="15">
        <v>148000</v>
      </c>
      <c r="S7" s="7"/>
      <c r="T7" s="15"/>
      <c r="U7" s="24"/>
      <c r="V7" s="24"/>
      <c r="W7" s="24"/>
      <c r="X7" s="15"/>
    </row>
    <row r="8" spans="1:24" ht="15" x14ac:dyDescent="0.35">
      <c r="A8" s="7" t="s">
        <v>95</v>
      </c>
      <c r="B8" s="27">
        <f>SUM(B4:B7)</f>
        <v>3549000</v>
      </c>
      <c r="C8" s="24"/>
      <c r="D8" s="27">
        <f>SUM(D4:D7)</f>
        <v>3712000</v>
      </c>
      <c r="E8" s="24"/>
      <c r="F8" s="27">
        <f>SUM(F4:F7)</f>
        <v>7261000</v>
      </c>
      <c r="G8" s="7"/>
      <c r="H8" s="27">
        <f>SUM(H4:H7)</f>
        <v>4126000</v>
      </c>
      <c r="I8" s="24"/>
      <c r="J8" s="27">
        <f>SUM(J4:J7)</f>
        <v>947000</v>
      </c>
      <c r="K8" s="24"/>
      <c r="L8" s="27">
        <f>SUM(L4:L7)</f>
        <v>5073000</v>
      </c>
      <c r="M8" s="7"/>
      <c r="N8" s="27">
        <f>SUM(N4:N7)</f>
        <v>3516000</v>
      </c>
      <c r="O8" s="24"/>
      <c r="P8" s="27">
        <f>SUM(P4:P7)</f>
        <v>120000</v>
      </c>
      <c r="Q8" s="24"/>
      <c r="R8" s="27">
        <f>SUM(R4:R7)</f>
        <v>3636000</v>
      </c>
      <c r="S8" s="7"/>
      <c r="T8" s="27">
        <f>SUM(T4:T7)</f>
        <v>0</v>
      </c>
      <c r="U8" s="24"/>
      <c r="V8" s="27">
        <f>SUM(V4:V7)</f>
        <v>0</v>
      </c>
      <c r="W8" s="24"/>
      <c r="X8" s="27">
        <f>SUM(X4:X7)</f>
        <v>0</v>
      </c>
    </row>
    <row r="9" spans="1:24" ht="15" x14ac:dyDescent="0.35">
      <c r="A9" s="7"/>
      <c r="B9" s="15"/>
      <c r="C9" s="24"/>
      <c r="D9" s="24"/>
      <c r="E9" s="24"/>
      <c r="F9" s="15"/>
      <c r="G9" s="7"/>
      <c r="H9" s="15"/>
      <c r="I9" s="24"/>
      <c r="J9" s="24"/>
      <c r="K9" s="24"/>
      <c r="L9" s="15"/>
      <c r="M9" s="7"/>
      <c r="N9" s="15"/>
      <c r="O9" s="24"/>
      <c r="P9" s="24"/>
      <c r="Q9" s="24"/>
      <c r="R9" s="15"/>
      <c r="S9" s="7"/>
      <c r="T9" s="15"/>
      <c r="U9" s="24"/>
      <c r="V9" s="24"/>
      <c r="W9" s="24"/>
      <c r="X9" s="15"/>
    </row>
    <row r="10" spans="1:24" ht="15" x14ac:dyDescent="0.35">
      <c r="A10" s="7" t="s">
        <v>96</v>
      </c>
      <c r="B10" s="15"/>
      <c r="C10" s="24"/>
      <c r="D10" s="24"/>
      <c r="E10" s="24"/>
      <c r="F10" s="15"/>
      <c r="G10" s="7"/>
      <c r="H10" s="15"/>
      <c r="I10" s="24"/>
      <c r="J10" s="24"/>
      <c r="K10" s="24"/>
      <c r="L10" s="15"/>
      <c r="M10" s="7"/>
      <c r="N10" s="15"/>
      <c r="O10" s="24"/>
      <c r="P10" s="24"/>
      <c r="Q10" s="24"/>
      <c r="R10" s="15"/>
      <c r="S10" s="7"/>
      <c r="T10" s="15"/>
      <c r="U10" s="24"/>
      <c r="V10" s="24"/>
      <c r="W10" s="24"/>
      <c r="X10" s="15"/>
    </row>
    <row r="11" spans="1:24" ht="15" x14ac:dyDescent="0.35">
      <c r="A11" s="7" t="s">
        <v>6</v>
      </c>
      <c r="B11" s="15">
        <v>4168000</v>
      </c>
      <c r="C11" s="24"/>
      <c r="D11" s="24">
        <f t="shared" ref="D11:D16" si="3">F11-B11</f>
        <v>-124000</v>
      </c>
      <c r="E11" s="24"/>
      <c r="F11" s="15">
        <v>4044000</v>
      </c>
      <c r="G11" s="7"/>
      <c r="H11" s="15">
        <v>3733000</v>
      </c>
      <c r="I11" s="24"/>
      <c r="J11" s="24">
        <f t="shared" ref="J11:J16" si="4">L11-H11</f>
        <v>-170000</v>
      </c>
      <c r="K11" s="24"/>
      <c r="L11" s="15">
        <v>3563000</v>
      </c>
      <c r="M11" s="7"/>
      <c r="N11" s="15">
        <v>3408000</v>
      </c>
      <c r="O11" s="24"/>
      <c r="P11" s="24">
        <f t="shared" ref="P11:P16" si="5">R11-N11</f>
        <v>-157000</v>
      </c>
      <c r="Q11" s="24"/>
      <c r="R11" s="15">
        <v>3251000</v>
      </c>
      <c r="S11" s="7"/>
      <c r="T11" s="15"/>
      <c r="U11" s="24"/>
      <c r="V11" s="24"/>
      <c r="W11" s="24"/>
      <c r="X11" s="15"/>
    </row>
    <row r="12" spans="1:24" ht="15" x14ac:dyDescent="0.35">
      <c r="A12" s="7" t="s">
        <v>7</v>
      </c>
      <c r="B12" s="15">
        <v>1592000</v>
      </c>
      <c r="C12" s="24"/>
      <c r="D12" s="24">
        <f t="shared" si="3"/>
        <v>-11000</v>
      </c>
      <c r="E12" s="24"/>
      <c r="F12" s="15">
        <v>1581000</v>
      </c>
      <c r="G12" s="7"/>
      <c r="H12" s="15">
        <v>1183000</v>
      </c>
      <c r="I12" s="24"/>
      <c r="J12" s="24">
        <f t="shared" si="4"/>
        <v>-10000</v>
      </c>
      <c r="K12" s="24"/>
      <c r="L12" s="15">
        <v>1173000</v>
      </c>
      <c r="M12" s="7"/>
      <c r="N12" s="15">
        <v>1481000</v>
      </c>
      <c r="O12" s="24"/>
      <c r="P12" s="24">
        <f t="shared" si="5"/>
        <v>-10000</v>
      </c>
      <c r="Q12" s="24"/>
      <c r="R12" s="15">
        <v>1471000</v>
      </c>
      <c r="S12" s="7"/>
      <c r="T12" s="15"/>
      <c r="U12" s="24"/>
      <c r="V12" s="24"/>
      <c r="W12" s="24"/>
      <c r="X12" s="15"/>
    </row>
    <row r="13" spans="1:24" ht="15" x14ac:dyDescent="0.35">
      <c r="A13" s="7" t="s">
        <v>8</v>
      </c>
      <c r="B13" s="15">
        <v>165000</v>
      </c>
      <c r="C13" s="24"/>
      <c r="D13" s="24">
        <f t="shared" si="3"/>
        <v>0</v>
      </c>
      <c r="E13" s="24"/>
      <c r="F13" s="15">
        <v>165000</v>
      </c>
      <c r="G13" s="7"/>
      <c r="H13" s="15">
        <v>147000</v>
      </c>
      <c r="I13" s="24"/>
      <c r="J13" s="24">
        <f t="shared" si="4"/>
        <v>0</v>
      </c>
      <c r="K13" s="24"/>
      <c r="L13" s="15">
        <v>147000</v>
      </c>
      <c r="M13" s="7"/>
      <c r="N13" s="15">
        <v>151000</v>
      </c>
      <c r="O13" s="24"/>
      <c r="P13" s="24">
        <f t="shared" si="5"/>
        <v>0</v>
      </c>
      <c r="Q13" s="24"/>
      <c r="R13" s="15">
        <v>151000</v>
      </c>
      <c r="S13" s="7"/>
      <c r="T13" s="15"/>
      <c r="U13" s="24"/>
      <c r="V13" s="24"/>
      <c r="W13" s="24"/>
      <c r="X13" s="15"/>
    </row>
    <row r="14" spans="1:24" ht="15" x14ac:dyDescent="0.35">
      <c r="A14" s="7" t="s">
        <v>9</v>
      </c>
      <c r="B14" s="15">
        <v>162000</v>
      </c>
      <c r="C14" s="24"/>
      <c r="D14" s="24">
        <f t="shared" si="3"/>
        <v>-5000</v>
      </c>
      <c r="E14" s="24"/>
      <c r="F14" s="15">
        <v>157000</v>
      </c>
      <c r="G14" s="7"/>
      <c r="H14" s="15">
        <v>173000</v>
      </c>
      <c r="I14" s="24"/>
      <c r="J14" s="24">
        <f t="shared" si="4"/>
        <v>-7000</v>
      </c>
      <c r="K14" s="24"/>
      <c r="L14" s="15">
        <v>166000</v>
      </c>
      <c r="M14" s="7"/>
      <c r="N14" s="15">
        <v>167000</v>
      </c>
      <c r="O14" s="24"/>
      <c r="P14" s="24">
        <f t="shared" si="5"/>
        <v>-7000</v>
      </c>
      <c r="Q14" s="24"/>
      <c r="R14" s="15">
        <v>160000</v>
      </c>
      <c r="S14" s="7"/>
      <c r="T14" s="15"/>
      <c r="U14" s="24"/>
      <c r="V14" s="24"/>
      <c r="W14" s="24"/>
      <c r="X14" s="15"/>
    </row>
    <row r="15" spans="1:24" ht="15" x14ac:dyDescent="0.35">
      <c r="A15" s="7" t="s">
        <v>97</v>
      </c>
      <c r="B15" s="15">
        <v>0</v>
      </c>
      <c r="C15" s="24"/>
      <c r="D15" s="24">
        <f t="shared" si="3"/>
        <v>3465000</v>
      </c>
      <c r="E15" s="24"/>
      <c r="F15" s="15">
        <v>3465000</v>
      </c>
      <c r="G15" s="7"/>
      <c r="H15" s="15">
        <v>0</v>
      </c>
      <c r="I15" s="24"/>
      <c r="J15" s="24">
        <f t="shared" si="4"/>
        <v>1278000</v>
      </c>
      <c r="K15" s="24"/>
      <c r="L15" s="15">
        <v>1278000</v>
      </c>
      <c r="M15" s="7"/>
      <c r="N15" s="15">
        <v>0</v>
      </c>
      <c r="O15" s="24"/>
      <c r="P15" s="24">
        <f t="shared" si="5"/>
        <v>0</v>
      </c>
      <c r="Q15" s="24"/>
      <c r="R15" s="15">
        <v>0</v>
      </c>
      <c r="S15" s="7"/>
      <c r="T15" s="15"/>
      <c r="U15" s="24"/>
      <c r="V15" s="24"/>
      <c r="W15" s="24"/>
      <c r="X15" s="15"/>
    </row>
    <row r="16" spans="1:24" ht="15" x14ac:dyDescent="0.35">
      <c r="A16" s="7" t="s">
        <v>98</v>
      </c>
      <c r="B16" s="15">
        <v>0</v>
      </c>
      <c r="C16" s="24"/>
      <c r="D16" s="24">
        <f t="shared" si="3"/>
        <v>458000</v>
      </c>
      <c r="E16" s="24"/>
      <c r="F16" s="15">
        <v>458000</v>
      </c>
      <c r="G16" s="7"/>
      <c r="H16" s="15">
        <v>0</v>
      </c>
      <c r="I16" s="24"/>
      <c r="J16" s="24">
        <f t="shared" si="4"/>
        <v>466000</v>
      </c>
      <c r="K16" s="24"/>
      <c r="L16" s="15">
        <v>466000</v>
      </c>
      <c r="M16" s="7"/>
      <c r="N16" s="15">
        <v>0</v>
      </c>
      <c r="O16" s="24"/>
      <c r="P16" s="24">
        <f t="shared" si="5"/>
        <v>467000</v>
      </c>
      <c r="Q16" s="24"/>
      <c r="R16" s="15">
        <v>467000</v>
      </c>
      <c r="S16" s="7"/>
      <c r="T16" s="15"/>
      <c r="U16" s="24"/>
      <c r="V16" s="24"/>
      <c r="W16" s="24"/>
      <c r="X16" s="15"/>
    </row>
    <row r="17" spans="1:25" ht="15" x14ac:dyDescent="0.35">
      <c r="A17" s="7" t="s">
        <v>99</v>
      </c>
      <c r="B17" s="27">
        <f>SUM(B11:B16)</f>
        <v>6087000</v>
      </c>
      <c r="C17" s="24"/>
      <c r="D17" s="27">
        <f>SUM(D11:D16)</f>
        <v>3783000</v>
      </c>
      <c r="E17" s="24"/>
      <c r="F17" s="27">
        <f>SUM(F11:F16)</f>
        <v>9870000</v>
      </c>
      <c r="G17" s="7"/>
      <c r="H17" s="27">
        <f>SUM(H11:H16)</f>
        <v>5236000</v>
      </c>
      <c r="I17" s="24"/>
      <c r="J17" s="27">
        <f>SUM(J11:J16)</f>
        <v>1557000</v>
      </c>
      <c r="K17" s="24"/>
      <c r="L17" s="27">
        <f>SUM(L11:L16)</f>
        <v>6793000</v>
      </c>
      <c r="M17" s="7"/>
      <c r="N17" s="27">
        <f>SUM(N11:N16)</f>
        <v>5207000</v>
      </c>
      <c r="O17" s="24"/>
      <c r="P17" s="27">
        <f>SUM(P11:P16)</f>
        <v>293000</v>
      </c>
      <c r="Q17" s="24"/>
      <c r="R17" s="27">
        <f>SUM(R11:R16)</f>
        <v>5500000</v>
      </c>
      <c r="S17" s="7"/>
      <c r="T17" s="27">
        <f>SUM(T11:T16)</f>
        <v>0</v>
      </c>
      <c r="U17" s="24"/>
      <c r="V17" s="27">
        <f>SUM(V11:V16)</f>
        <v>0</v>
      </c>
      <c r="W17" s="24"/>
      <c r="X17" s="27">
        <f>SUM(X11:X16)</f>
        <v>0</v>
      </c>
      <c r="Y17" s="7"/>
    </row>
    <row r="18" spans="1:25" ht="15" x14ac:dyDescent="0.35">
      <c r="A18" s="7"/>
      <c r="B18" s="15"/>
      <c r="C18" s="24"/>
      <c r="D18" s="24"/>
      <c r="E18" s="24"/>
      <c r="F18" s="15"/>
      <c r="G18" s="7"/>
      <c r="H18" s="15"/>
      <c r="I18" s="24"/>
      <c r="J18" s="24"/>
      <c r="K18" s="24"/>
      <c r="L18" s="15"/>
      <c r="M18" s="7"/>
      <c r="N18" s="15"/>
      <c r="O18" s="24"/>
      <c r="P18" s="24"/>
      <c r="Q18" s="24"/>
      <c r="R18" s="15"/>
      <c r="S18" s="7"/>
      <c r="T18" s="15"/>
      <c r="U18" s="24"/>
      <c r="V18" s="24"/>
      <c r="W18" s="24"/>
      <c r="X18" s="15"/>
    </row>
    <row r="19" spans="1:25" ht="15" hidden="1" x14ac:dyDescent="0.35">
      <c r="A19" s="7" t="s">
        <v>100</v>
      </c>
      <c r="B19" s="15">
        <v>0</v>
      </c>
      <c r="C19" s="24"/>
      <c r="D19" s="24">
        <f>F19-B19</f>
        <v>0</v>
      </c>
      <c r="E19" s="24"/>
      <c r="F19" s="15">
        <v>0</v>
      </c>
      <c r="G19" s="7"/>
      <c r="H19" s="15">
        <v>0</v>
      </c>
      <c r="I19" s="24"/>
      <c r="J19" s="24">
        <f>L19-H19</f>
        <v>0</v>
      </c>
      <c r="K19" s="24"/>
      <c r="L19" s="15"/>
      <c r="M19" s="7"/>
      <c r="N19" s="15"/>
      <c r="O19" s="24"/>
      <c r="P19" s="24">
        <f>R19-N19</f>
        <v>0</v>
      </c>
      <c r="Q19" s="24"/>
      <c r="R19" s="15"/>
      <c r="S19" s="7"/>
      <c r="T19" s="15"/>
      <c r="U19" s="24"/>
      <c r="V19" s="24"/>
      <c r="W19" s="24"/>
      <c r="X19" s="15"/>
    </row>
    <row r="20" spans="1:25" ht="15" x14ac:dyDescent="0.35">
      <c r="A20" s="7" t="s">
        <v>153</v>
      </c>
      <c r="B20" s="15">
        <v>0</v>
      </c>
      <c r="C20" s="24"/>
      <c r="D20" s="24">
        <f t="shared" ref="D20:D25" si="6">F20-B20</f>
        <v>0</v>
      </c>
      <c r="E20" s="24"/>
      <c r="F20" s="15">
        <v>0</v>
      </c>
      <c r="G20" s="7"/>
      <c r="H20" s="15">
        <v>0</v>
      </c>
      <c r="I20" s="24"/>
      <c r="J20" s="24">
        <f t="shared" ref="J20" si="7">L20-H20</f>
        <v>0</v>
      </c>
      <c r="K20" s="24"/>
      <c r="L20" s="15">
        <v>0</v>
      </c>
      <c r="M20" s="7"/>
      <c r="N20" s="15">
        <v>677000</v>
      </c>
      <c r="O20" s="24"/>
      <c r="P20" s="24">
        <f t="shared" ref="P20" si="8">R20-N20</f>
        <v>0</v>
      </c>
      <c r="Q20" s="24"/>
      <c r="R20" s="15">
        <v>677000</v>
      </c>
      <c r="S20" s="7"/>
      <c r="T20" s="15"/>
      <c r="U20" s="24"/>
      <c r="V20" s="24"/>
      <c r="W20" s="24"/>
      <c r="X20" s="15"/>
    </row>
    <row r="21" spans="1:25" ht="15" x14ac:dyDescent="0.35">
      <c r="A21" s="7"/>
      <c r="B21" s="15"/>
      <c r="C21" s="24"/>
      <c r="D21" s="24"/>
      <c r="E21" s="24"/>
      <c r="F21" s="15"/>
      <c r="G21" s="7"/>
      <c r="H21" s="15"/>
      <c r="I21" s="24"/>
      <c r="J21" s="24"/>
      <c r="K21" s="24"/>
      <c r="L21" s="15"/>
      <c r="M21" s="7"/>
      <c r="N21" s="15"/>
      <c r="O21" s="24"/>
      <c r="P21" s="24"/>
      <c r="Q21" s="24"/>
      <c r="R21" s="15"/>
      <c r="S21" s="7"/>
      <c r="T21" s="15"/>
      <c r="U21" s="24"/>
      <c r="V21" s="24"/>
      <c r="W21" s="24"/>
      <c r="X21" s="15"/>
    </row>
    <row r="22" spans="1:25" ht="15" x14ac:dyDescent="0.35">
      <c r="A22" s="7" t="s">
        <v>149</v>
      </c>
      <c r="B22" s="15">
        <v>-6000</v>
      </c>
      <c r="C22" s="24"/>
      <c r="D22" s="24">
        <f t="shared" si="6"/>
        <v>372000</v>
      </c>
      <c r="E22" s="24"/>
      <c r="F22" s="15">
        <v>366000</v>
      </c>
      <c r="G22" s="7"/>
      <c r="H22" s="15">
        <v>416000</v>
      </c>
      <c r="I22" s="24"/>
      <c r="J22" s="24">
        <f t="shared" ref="J22:J25" si="9">L22-H22</f>
        <v>149000</v>
      </c>
      <c r="K22" s="24"/>
      <c r="L22" s="15">
        <v>565000</v>
      </c>
      <c r="M22" s="7"/>
      <c r="N22" s="15">
        <v>231000</v>
      </c>
      <c r="O22" s="24"/>
      <c r="P22" s="24">
        <f t="shared" ref="P22:P25" si="10">R22-N22</f>
        <v>93000</v>
      </c>
      <c r="Q22" s="24"/>
      <c r="R22" s="15">
        <v>324000</v>
      </c>
      <c r="S22" s="7"/>
      <c r="T22" s="15"/>
      <c r="U22" s="24"/>
      <c r="V22" s="24"/>
      <c r="W22" s="24"/>
      <c r="X22" s="15"/>
    </row>
    <row r="23" spans="1:25" ht="15" x14ac:dyDescent="0.35">
      <c r="A23" s="7" t="s">
        <v>12</v>
      </c>
      <c r="B23" s="15">
        <v>0</v>
      </c>
      <c r="C23" s="24"/>
      <c r="D23" s="24">
        <f t="shared" si="6"/>
        <v>0</v>
      </c>
      <c r="E23" s="24"/>
      <c r="F23" s="15">
        <v>0</v>
      </c>
      <c r="G23" s="7"/>
      <c r="H23" s="15">
        <v>0</v>
      </c>
      <c r="I23" s="24"/>
      <c r="J23" s="24">
        <f t="shared" si="9"/>
        <v>0</v>
      </c>
      <c r="K23" s="24"/>
      <c r="L23" s="15">
        <v>0</v>
      </c>
      <c r="M23" s="7"/>
      <c r="N23" s="15">
        <v>0</v>
      </c>
      <c r="O23" s="24"/>
      <c r="P23" s="24">
        <f t="shared" si="10"/>
        <v>0</v>
      </c>
      <c r="Q23" s="24"/>
      <c r="R23" s="15">
        <v>0</v>
      </c>
      <c r="S23" s="7"/>
      <c r="T23" s="15"/>
      <c r="U23" s="24"/>
      <c r="V23" s="24"/>
      <c r="W23" s="24"/>
      <c r="X23" s="15"/>
    </row>
    <row r="24" spans="1:25" ht="15" x14ac:dyDescent="0.35">
      <c r="A24" s="7" t="s">
        <v>13</v>
      </c>
      <c r="B24" s="15">
        <v>-33000</v>
      </c>
      <c r="C24" s="24"/>
      <c r="D24" s="24">
        <f>F24-B24</f>
        <v>1000</v>
      </c>
      <c r="E24" s="24"/>
      <c r="F24" s="15">
        <v>-32000</v>
      </c>
      <c r="G24" s="7"/>
      <c r="H24" s="15">
        <v>-30000</v>
      </c>
      <c r="I24" s="24"/>
      <c r="J24" s="24">
        <f>L24-H24</f>
        <v>0</v>
      </c>
      <c r="K24" s="24"/>
      <c r="L24" s="15">
        <v>-30000</v>
      </c>
      <c r="M24" s="7"/>
      <c r="N24" s="15">
        <v>-28000</v>
      </c>
      <c r="O24" s="24"/>
      <c r="P24" s="24">
        <f>R24-N24</f>
        <v>0</v>
      </c>
      <c r="Q24" s="24"/>
      <c r="R24" s="15">
        <v>-28000</v>
      </c>
      <c r="S24" s="7"/>
      <c r="T24" s="15"/>
      <c r="U24" s="24"/>
      <c r="V24" s="24"/>
      <c r="W24" s="24"/>
      <c r="X24" s="15"/>
    </row>
    <row r="25" spans="1:25" ht="15" x14ac:dyDescent="0.35">
      <c r="A25" s="7" t="s">
        <v>14</v>
      </c>
      <c r="B25" s="19">
        <v>1611000</v>
      </c>
      <c r="C25" s="24"/>
      <c r="D25" s="28">
        <f t="shared" si="6"/>
        <v>0</v>
      </c>
      <c r="E25" s="24"/>
      <c r="F25" s="19">
        <v>1611000</v>
      </c>
      <c r="G25" s="7"/>
      <c r="H25" s="19">
        <v>1738000</v>
      </c>
      <c r="I25" s="24"/>
      <c r="J25" s="28">
        <f t="shared" si="9"/>
        <v>0</v>
      </c>
      <c r="K25" s="24"/>
      <c r="L25" s="19">
        <v>1738000</v>
      </c>
      <c r="M25" s="7"/>
      <c r="N25" s="19">
        <v>1876000</v>
      </c>
      <c r="O25" s="24"/>
      <c r="P25" s="28">
        <f t="shared" si="10"/>
        <v>0</v>
      </c>
      <c r="Q25" s="24"/>
      <c r="R25" s="19">
        <v>1876000</v>
      </c>
      <c r="S25" s="7"/>
      <c r="T25" s="19"/>
      <c r="U25" s="24"/>
      <c r="V25" s="28"/>
      <c r="W25" s="24"/>
      <c r="X25" s="19"/>
    </row>
    <row r="26" spans="1:25" ht="15" x14ac:dyDescent="0.35">
      <c r="A26" s="7" t="s">
        <v>102</v>
      </c>
      <c r="B26" s="15">
        <f>B8-B17-SUM(B19:B25)</f>
        <v>-4110000</v>
      </c>
      <c r="C26" s="24"/>
      <c r="D26" s="15">
        <f>D8-D17-SUM(D19:D25)</f>
        <v>-444000</v>
      </c>
      <c r="E26" s="24"/>
      <c r="F26" s="15">
        <f>F8-F17-SUM(F19:F25)</f>
        <v>-4554000</v>
      </c>
      <c r="G26" s="7"/>
      <c r="H26" s="15">
        <f>H8-H17-SUM(H19:H25)</f>
        <v>-3234000</v>
      </c>
      <c r="I26" s="24"/>
      <c r="J26" s="15">
        <f>J8-J17-SUM(J19:J25)</f>
        <v>-759000</v>
      </c>
      <c r="K26" s="24"/>
      <c r="L26" s="15">
        <f>L8-L17-SUM(L19:L25)</f>
        <v>-3993000</v>
      </c>
      <c r="M26" s="7"/>
      <c r="N26" s="15">
        <f>N8-N17-SUM(N19:N25)</f>
        <v>-4447000</v>
      </c>
      <c r="O26" s="24"/>
      <c r="P26" s="15">
        <f>P8-P17-SUM(P19:P25)</f>
        <v>-266000</v>
      </c>
      <c r="Q26" s="24"/>
      <c r="R26" s="15">
        <f>R8-R17-SUM(R19:R25)</f>
        <v>-4713000</v>
      </c>
      <c r="S26" s="7"/>
      <c r="T26" s="15">
        <f>T8-T17-SUM(T19:T25)</f>
        <v>0</v>
      </c>
      <c r="U26" s="24"/>
      <c r="V26" s="15">
        <f>V8-V17-SUM(V19:V25)</f>
        <v>0</v>
      </c>
      <c r="W26" s="24"/>
      <c r="X26" s="15">
        <f>X8-X17-SUM(X19:X25)</f>
        <v>0</v>
      </c>
    </row>
    <row r="27" spans="1:25" ht="15" x14ac:dyDescent="0.35">
      <c r="A27" s="7" t="s">
        <v>76</v>
      </c>
      <c r="B27" s="19">
        <v>0</v>
      </c>
      <c r="C27" s="24"/>
      <c r="D27" s="28">
        <v>0</v>
      </c>
      <c r="E27" s="24"/>
      <c r="F27" s="19">
        <v>0</v>
      </c>
      <c r="G27" s="7"/>
      <c r="H27" s="19">
        <v>0</v>
      </c>
      <c r="I27" s="24"/>
      <c r="J27" s="28">
        <v>0</v>
      </c>
      <c r="K27" s="24"/>
      <c r="L27" s="19">
        <v>0</v>
      </c>
      <c r="M27" s="7"/>
      <c r="N27" s="19">
        <v>0</v>
      </c>
      <c r="O27" s="24"/>
      <c r="P27" s="28">
        <v>0</v>
      </c>
      <c r="Q27" s="24"/>
      <c r="R27" s="19">
        <v>0</v>
      </c>
      <c r="S27" s="7"/>
      <c r="T27" s="19">
        <v>0</v>
      </c>
      <c r="U27" s="24"/>
      <c r="V27" s="28">
        <v>0</v>
      </c>
      <c r="W27" s="24"/>
      <c r="X27" s="19">
        <v>0</v>
      </c>
    </row>
    <row r="28" spans="1:25" ht="15" x14ac:dyDescent="0.35">
      <c r="A28" s="7" t="s">
        <v>103</v>
      </c>
      <c r="B28" s="15">
        <f>SUM(B26:B27)</f>
        <v>-4110000</v>
      </c>
      <c r="C28" s="24"/>
      <c r="D28" s="15">
        <f>SUM(D26:D27)</f>
        <v>-444000</v>
      </c>
      <c r="E28" s="24"/>
      <c r="F28" s="15">
        <f>SUM(F26:F27)</f>
        <v>-4554000</v>
      </c>
      <c r="G28" s="7"/>
      <c r="H28" s="15">
        <f>SUM(H26:H27)</f>
        <v>-3234000</v>
      </c>
      <c r="I28" s="24"/>
      <c r="J28" s="15">
        <f>SUM(J26:J27)</f>
        <v>-759000</v>
      </c>
      <c r="K28" s="24"/>
      <c r="L28" s="15">
        <f>SUM(L26:L27)</f>
        <v>-3993000</v>
      </c>
      <c r="M28" s="7"/>
      <c r="N28" s="15">
        <f>SUM(N26:N27)</f>
        <v>-4447000</v>
      </c>
      <c r="O28" s="24"/>
      <c r="P28" s="15">
        <f>SUM(P26:P27)</f>
        <v>-266000</v>
      </c>
      <c r="Q28" s="24"/>
      <c r="R28" s="15">
        <f>SUM(R26:R27)</f>
        <v>-4713000</v>
      </c>
      <c r="S28" s="7"/>
      <c r="T28" s="15">
        <f>SUM(T26:T27)</f>
        <v>0</v>
      </c>
      <c r="U28" s="24"/>
      <c r="V28" s="15">
        <f>SUM(V26:V27)</f>
        <v>0</v>
      </c>
      <c r="W28" s="24"/>
      <c r="X28" s="15">
        <f>SUM(X26:X27)</f>
        <v>0</v>
      </c>
    </row>
    <row r="29" spans="1:25" ht="15" x14ac:dyDescent="0.35">
      <c r="A29" s="7" t="s">
        <v>104</v>
      </c>
      <c r="B29" s="15">
        <v>0</v>
      </c>
      <c r="C29" s="24"/>
      <c r="D29" s="24">
        <f t="shared" ref="D29" si="11">F29-B29</f>
        <v>147000</v>
      </c>
      <c r="E29" s="24"/>
      <c r="F29" s="15">
        <v>147000</v>
      </c>
      <c r="G29" s="7"/>
      <c r="H29" s="15">
        <v>0</v>
      </c>
      <c r="I29" s="24"/>
      <c r="J29" s="24">
        <f t="shared" ref="J29" si="12">L29-H29</f>
        <v>401000</v>
      </c>
      <c r="K29" s="24"/>
      <c r="L29" s="15">
        <v>401000</v>
      </c>
      <c r="M29" s="7"/>
      <c r="N29" s="15">
        <v>0</v>
      </c>
      <c r="O29" s="24"/>
      <c r="P29" s="24">
        <f t="shared" ref="P29" si="13">R29-N29</f>
        <v>342000</v>
      </c>
      <c r="Q29" s="24"/>
      <c r="R29" s="15">
        <v>342000</v>
      </c>
      <c r="S29" s="7"/>
      <c r="T29" s="15"/>
      <c r="U29" s="24"/>
      <c r="V29" s="24"/>
      <c r="W29" s="24"/>
      <c r="X29" s="15"/>
    </row>
    <row r="30" spans="1:25" ht="15.6" thickBot="1" x14ac:dyDescent="0.4">
      <c r="A30" s="7" t="s">
        <v>105</v>
      </c>
      <c r="B30" s="33">
        <f>SUM(B28:B29)</f>
        <v>-4110000</v>
      </c>
      <c r="C30" s="24"/>
      <c r="D30" s="33">
        <f>SUM(D28:D29)</f>
        <v>-297000</v>
      </c>
      <c r="E30" s="24"/>
      <c r="F30" s="33">
        <f>SUM(F28:F29)</f>
        <v>-4407000</v>
      </c>
      <c r="G30" s="7"/>
      <c r="H30" s="33">
        <f>SUM(H28:H29)</f>
        <v>-3234000</v>
      </c>
      <c r="I30" s="24"/>
      <c r="J30" s="33">
        <f>SUM(J28:J29)</f>
        <v>-358000</v>
      </c>
      <c r="K30" s="24"/>
      <c r="L30" s="33">
        <f>SUM(L28:L29)</f>
        <v>-3592000</v>
      </c>
      <c r="M30" s="7"/>
      <c r="N30" s="33">
        <f>SUM(N28:N29)</f>
        <v>-4447000</v>
      </c>
      <c r="O30" s="24"/>
      <c r="P30" s="33">
        <f>SUM(P28:P29)</f>
        <v>76000</v>
      </c>
      <c r="Q30" s="24"/>
      <c r="R30" s="33">
        <f>SUM(R28:R29)</f>
        <v>-4371000</v>
      </c>
      <c r="S30" s="7"/>
      <c r="T30" s="33">
        <f>SUM(T28:T29)</f>
        <v>0</v>
      </c>
      <c r="U30" s="24"/>
      <c r="V30" s="33">
        <f>SUM(V28:V29)</f>
        <v>0</v>
      </c>
      <c r="W30" s="24"/>
      <c r="X30" s="33">
        <f>SUM(X28:X29)</f>
        <v>0</v>
      </c>
    </row>
    <row r="31" spans="1:25" ht="15.6" thickTop="1" x14ac:dyDescent="0.35">
      <c r="A31" s="7"/>
      <c r="B31" s="7"/>
      <c r="C31" s="7"/>
      <c r="D31" s="7"/>
      <c r="E31" s="7"/>
      <c r="F31" s="7"/>
      <c r="G31" s="7"/>
      <c r="H31" s="7"/>
      <c r="I31" s="7"/>
      <c r="J31" s="7"/>
      <c r="K31" s="7"/>
      <c r="L31" s="7"/>
      <c r="M31" s="7"/>
      <c r="N31" s="7"/>
      <c r="O31" s="7"/>
      <c r="P31" s="7"/>
      <c r="Q31" s="7"/>
      <c r="R31" s="7"/>
      <c r="S31" s="7"/>
      <c r="T31" s="7"/>
      <c r="U31" s="7"/>
      <c r="V31" s="7"/>
      <c r="W31" s="7"/>
      <c r="X31" s="7"/>
    </row>
    <row r="32" spans="1:25" ht="15" x14ac:dyDescent="0.35">
      <c r="A32" s="7" t="s">
        <v>137</v>
      </c>
      <c r="B32" s="23">
        <f>B30/B35</f>
        <v>-3.586387434554974</v>
      </c>
      <c r="C32" s="7"/>
      <c r="D32" s="7"/>
      <c r="E32" s="7"/>
      <c r="F32" s="23">
        <f>F30/F35</f>
        <v>-3.8455497382198951</v>
      </c>
      <c r="G32" s="7"/>
      <c r="H32" s="23">
        <f>H30/H35</f>
        <v>-2.5305164319248825</v>
      </c>
      <c r="I32" s="7"/>
      <c r="J32" s="7"/>
      <c r="K32" s="7"/>
      <c r="L32" s="23">
        <f>L30/L35</f>
        <v>-2.8106416275430361</v>
      </c>
      <c r="M32" s="7"/>
      <c r="N32" s="23">
        <f>N30/N35</f>
        <v>-1.7005736137667304</v>
      </c>
      <c r="O32" s="7"/>
      <c r="P32" s="7"/>
      <c r="Q32" s="7"/>
      <c r="R32" s="23">
        <f>R30/R35+0.02</f>
        <v>-1.65151051625239</v>
      </c>
      <c r="S32" s="7"/>
      <c r="T32" s="23"/>
      <c r="U32" s="7"/>
      <c r="V32" s="7"/>
      <c r="W32" s="7"/>
      <c r="X32" s="23"/>
    </row>
    <row r="33" spans="1:24" ht="15" x14ac:dyDescent="0.35">
      <c r="A33" s="7" t="s">
        <v>138</v>
      </c>
      <c r="B33" s="23">
        <f>B30/B36</f>
        <v>-3.586387434554974</v>
      </c>
      <c r="C33" s="7"/>
      <c r="D33" s="7"/>
      <c r="E33" s="7"/>
      <c r="F33" s="23">
        <f>F30/F36</f>
        <v>-3.8455497382198951</v>
      </c>
      <c r="G33" s="7"/>
      <c r="H33" s="23">
        <f>H30/H36</f>
        <v>-2.5305164319248825</v>
      </c>
      <c r="I33" s="7"/>
      <c r="J33" s="7"/>
      <c r="K33" s="7"/>
      <c r="L33" s="23">
        <f>L30/L36</f>
        <v>-2.8106416275430361</v>
      </c>
      <c r="M33" s="7"/>
      <c r="N33" s="23">
        <f>N30/N36</f>
        <v>-1.7005736137667304</v>
      </c>
      <c r="O33" s="7"/>
      <c r="P33" s="7"/>
      <c r="Q33" s="7"/>
      <c r="R33" s="23">
        <f>R30/R36+0.02</f>
        <v>-1.65151051625239</v>
      </c>
      <c r="S33" s="7"/>
      <c r="T33" s="23"/>
      <c r="U33" s="7"/>
      <c r="V33" s="7"/>
      <c r="W33" s="7"/>
      <c r="X33" s="23"/>
    </row>
    <row r="34" spans="1:24" ht="15" x14ac:dyDescent="0.35">
      <c r="A34" s="7" t="s">
        <v>108</v>
      </c>
      <c r="B34" s="7"/>
      <c r="C34" s="7"/>
      <c r="D34" s="7"/>
      <c r="E34" s="7"/>
      <c r="F34" s="7"/>
      <c r="G34" s="7"/>
      <c r="H34" s="7"/>
      <c r="I34" s="7"/>
      <c r="J34" s="7"/>
      <c r="K34" s="7"/>
      <c r="L34" s="7"/>
      <c r="M34" s="7"/>
      <c r="N34" s="7"/>
      <c r="O34" s="7"/>
      <c r="P34" s="7"/>
      <c r="Q34" s="7"/>
      <c r="R34" s="7"/>
      <c r="S34" s="7"/>
      <c r="T34" s="7"/>
      <c r="U34" s="7"/>
      <c r="V34" s="7"/>
      <c r="W34" s="7"/>
      <c r="X34" s="7"/>
    </row>
    <row r="35" spans="1:24" ht="15" x14ac:dyDescent="0.35">
      <c r="A35" s="7" t="s">
        <v>19</v>
      </c>
      <c r="B35" s="15">
        <v>1146000</v>
      </c>
      <c r="C35" s="7"/>
      <c r="D35" s="30"/>
      <c r="E35" s="7"/>
      <c r="F35" s="30">
        <v>1146000</v>
      </c>
      <c r="G35" s="7"/>
      <c r="H35" s="15">
        <v>1278000</v>
      </c>
      <c r="I35" s="7"/>
      <c r="J35" s="30"/>
      <c r="K35" s="7"/>
      <c r="L35" s="30">
        <v>1278000</v>
      </c>
      <c r="M35" s="7"/>
      <c r="N35" s="15">
        <v>2615000</v>
      </c>
      <c r="O35" s="7"/>
      <c r="P35" s="30"/>
      <c r="Q35" s="7"/>
      <c r="R35" s="30">
        <v>2615000</v>
      </c>
      <c r="S35" s="7"/>
      <c r="T35" s="15"/>
      <c r="U35" s="7"/>
      <c r="V35" s="30"/>
      <c r="W35" s="7"/>
      <c r="X35" s="30"/>
    </row>
    <row r="36" spans="1:24" ht="15" x14ac:dyDescent="0.35">
      <c r="A36" s="7" t="s">
        <v>20</v>
      </c>
      <c r="B36" s="15">
        <v>1146000</v>
      </c>
      <c r="C36" s="7"/>
      <c r="D36" s="7"/>
      <c r="E36" s="7"/>
      <c r="F36" s="30">
        <v>1146000</v>
      </c>
      <c r="G36" s="7"/>
      <c r="H36" s="15">
        <v>1278000</v>
      </c>
      <c r="I36" s="7"/>
      <c r="J36" s="7"/>
      <c r="K36" s="7"/>
      <c r="L36" s="30">
        <v>1278000</v>
      </c>
      <c r="M36" s="7"/>
      <c r="N36" s="15">
        <v>2615000</v>
      </c>
      <c r="O36" s="7"/>
      <c r="P36" s="7"/>
      <c r="Q36" s="7"/>
      <c r="R36" s="30">
        <v>2615000</v>
      </c>
      <c r="S36" s="7"/>
      <c r="T36" s="15"/>
      <c r="U36" s="7"/>
      <c r="V36" s="7"/>
      <c r="W36" s="7"/>
      <c r="X36" s="30"/>
    </row>
  </sheetData>
  <mergeCells count="4">
    <mergeCell ref="B1:F1"/>
    <mergeCell ref="H1:L1"/>
    <mergeCell ref="N1:R1"/>
    <mergeCell ref="T1:X1"/>
  </mergeCells>
  <conditionalFormatting sqref="A4:X8 Q11:X16 A11:P17 Q17:Y17 A22:X30 A32:X33">
    <cfRule type="expression" dxfId="2" priority="6">
      <formula>MOD(ROW(),2)=0</formula>
    </cfRule>
  </conditionalFormatting>
  <conditionalFormatting sqref="A20:X20">
    <cfRule type="expression" dxfId="1" priority="1">
      <formula>MOD(ROW(),2)=0</formula>
    </cfRule>
  </conditionalFormatting>
  <conditionalFormatting sqref="A35:X36">
    <cfRule type="expression" dxfId="0" priority="8">
      <formula>MOD(ROW(),2)=0</formula>
    </cfRule>
  </conditionalFormatting>
  <pageMargins left="0.7" right="0.7" top="0.75" bottom="0.75" header="0.3" footer="0.3"/>
  <pageSetup scale="5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2477-2740-E24B-BF17-D81682B2CDF0}">
  <sheetPr>
    <tabColor rgb="FF4AAFA0"/>
    <pageSetUpPr fitToPage="1"/>
  </sheetPr>
  <dimension ref="A1:J48"/>
  <sheetViews>
    <sheetView showGridLines="0" view="pageBreakPreview" topLeftCell="A12" zoomScaleNormal="100" zoomScaleSheetLayoutView="100" workbookViewId="0">
      <selection activeCell="H40" sqref="H40"/>
    </sheetView>
  </sheetViews>
  <sheetFormatPr defaultColWidth="8.88671875" defaultRowHeight="14.4" x14ac:dyDescent="0.3"/>
  <cols>
    <col min="1" max="1" width="3" customWidth="1"/>
    <col min="2" max="2" width="45.5546875" customWidth="1"/>
    <col min="3" max="9" width="11.88671875" customWidth="1"/>
  </cols>
  <sheetData>
    <row r="1" spans="1:10" ht="15" x14ac:dyDescent="0.35">
      <c r="A1" s="7"/>
      <c r="B1" s="7"/>
      <c r="C1" s="8" t="s">
        <v>0</v>
      </c>
      <c r="D1" s="8" t="s">
        <v>0</v>
      </c>
      <c r="E1" s="8" t="s">
        <v>0</v>
      </c>
      <c r="F1" s="8" t="s">
        <v>0</v>
      </c>
      <c r="G1" s="8" t="s">
        <v>0</v>
      </c>
      <c r="H1" s="8" t="s">
        <v>0</v>
      </c>
      <c r="I1" s="8" t="s">
        <v>0</v>
      </c>
    </row>
    <row r="2" spans="1:10" ht="15" x14ac:dyDescent="0.35">
      <c r="A2" s="7"/>
      <c r="B2" s="56" t="s">
        <v>131</v>
      </c>
      <c r="C2" s="9">
        <v>2019</v>
      </c>
      <c r="D2" s="9">
        <v>2020</v>
      </c>
      <c r="E2" s="9">
        <v>2021</v>
      </c>
      <c r="F2" s="9">
        <v>2022</v>
      </c>
      <c r="G2" s="9">
        <v>2023</v>
      </c>
      <c r="H2" s="9">
        <v>2024</v>
      </c>
      <c r="I2" s="9">
        <v>2025</v>
      </c>
    </row>
    <row r="3" spans="1:10" ht="15" x14ac:dyDescent="0.35">
      <c r="A3" s="7"/>
      <c r="B3" s="7"/>
      <c r="C3" s="7"/>
      <c r="D3" s="7"/>
      <c r="E3" s="7"/>
      <c r="F3" s="7"/>
      <c r="G3" s="7"/>
      <c r="H3" s="7"/>
      <c r="I3" s="7"/>
    </row>
    <row r="4" spans="1:10" ht="15" x14ac:dyDescent="0.35">
      <c r="A4" s="10" t="s">
        <v>1</v>
      </c>
      <c r="B4" s="7"/>
      <c r="C4" s="7"/>
      <c r="D4" s="7"/>
      <c r="E4" s="7"/>
      <c r="F4" s="7"/>
      <c r="G4" s="7"/>
      <c r="H4" s="7"/>
      <c r="I4" s="7"/>
    </row>
    <row r="5" spans="1:10" ht="15" x14ac:dyDescent="0.35">
      <c r="A5" s="7"/>
      <c r="B5" s="7" t="s">
        <v>2</v>
      </c>
      <c r="C5" s="11">
        <f>15639+5447</f>
        <v>21086</v>
      </c>
      <c r="D5" s="11">
        <f>6459+5316</f>
        <v>11775</v>
      </c>
      <c r="E5" s="11">
        <f>7610+3240+3211+1198</f>
        <v>15259</v>
      </c>
      <c r="F5" s="11">
        <v>21575</v>
      </c>
      <c r="G5" s="11">
        <v>16982</v>
      </c>
      <c r="H5" s="11">
        <v>20563</v>
      </c>
      <c r="I5" s="11">
        <f>'IS - Quarterly'!K5+'IS - Quarterly'!L5+'IS - Quarterly'!M5</f>
        <v>11159</v>
      </c>
    </row>
    <row r="6" spans="1:10" ht="15" x14ac:dyDescent="0.35">
      <c r="A6" s="7"/>
      <c r="B6" s="12" t="s">
        <v>3</v>
      </c>
      <c r="C6" s="13">
        <v>4985</v>
      </c>
      <c r="D6" s="13">
        <v>422</v>
      </c>
      <c r="E6" s="13">
        <v>733</v>
      </c>
      <c r="F6" s="13">
        <v>2543</v>
      </c>
      <c r="G6" s="13">
        <v>3656</v>
      </c>
      <c r="H6" s="13">
        <v>379</v>
      </c>
      <c r="I6" s="13">
        <f>'IS - Quarterly'!K6+'IS - Quarterly'!L6+'IS - Quarterly'!M6</f>
        <v>32</v>
      </c>
    </row>
    <row r="7" spans="1:10" ht="15" x14ac:dyDescent="0.35">
      <c r="A7" s="7"/>
      <c r="B7" s="7" t="s">
        <v>4</v>
      </c>
      <c r="C7" s="14">
        <f t="shared" ref="C7:G7" si="0">SUM(C5:C6)</f>
        <v>26071</v>
      </c>
      <c r="D7" s="14">
        <f t="shared" si="0"/>
        <v>12197</v>
      </c>
      <c r="E7" s="14">
        <f t="shared" si="0"/>
        <v>15992</v>
      </c>
      <c r="F7" s="14">
        <f t="shared" si="0"/>
        <v>24118</v>
      </c>
      <c r="G7" s="14">
        <f t="shared" si="0"/>
        <v>20638</v>
      </c>
      <c r="H7" s="14">
        <f>SUM(H5:H6)</f>
        <v>20942</v>
      </c>
      <c r="I7" s="14">
        <f>SUM(I5:I6)</f>
        <v>11191</v>
      </c>
    </row>
    <row r="8" spans="1:10" ht="15" x14ac:dyDescent="0.35">
      <c r="A8" s="7"/>
      <c r="B8" s="7"/>
      <c r="C8" s="15"/>
      <c r="D8" s="16"/>
      <c r="E8" s="16"/>
      <c r="F8" s="16"/>
      <c r="G8" s="16"/>
      <c r="H8" s="16"/>
      <c r="I8" s="16"/>
    </row>
    <row r="9" spans="1:10" ht="15" x14ac:dyDescent="0.35">
      <c r="A9" s="10" t="s">
        <v>5</v>
      </c>
      <c r="B9" s="7"/>
      <c r="C9" s="15"/>
      <c r="D9" s="15"/>
      <c r="E9" s="15"/>
      <c r="F9" s="15"/>
      <c r="G9" s="15"/>
      <c r="H9" s="15"/>
      <c r="I9" s="15"/>
    </row>
    <row r="10" spans="1:10" ht="15" x14ac:dyDescent="0.35">
      <c r="A10" s="7"/>
      <c r="B10" s="17" t="s">
        <v>6</v>
      </c>
      <c r="C10" s="18">
        <f>1417+908+312+5042+983+6944</f>
        <v>15606</v>
      </c>
      <c r="D10" s="18">
        <f>7105+3494+1047+450+186</f>
        <v>12282</v>
      </c>
      <c r="E10" s="18">
        <f>7725+2659+259</f>
        <v>10643</v>
      </c>
      <c r="F10" s="18">
        <v>14609</v>
      </c>
      <c r="G10" s="18">
        <v>21808</v>
      </c>
      <c r="H10" s="18">
        <v>24904</v>
      </c>
      <c r="I10" s="18">
        <f>'IS - Quarterly'!K10+'IS - Quarterly'!L10+'IS - Quarterly'!M10</f>
        <v>11417</v>
      </c>
    </row>
    <row r="11" spans="1:10" ht="15" x14ac:dyDescent="0.35">
      <c r="A11" s="7"/>
      <c r="B11" s="7" t="s">
        <v>7</v>
      </c>
      <c r="C11" s="15">
        <f>1692+130+74</f>
        <v>1896</v>
      </c>
      <c r="D11" s="15">
        <f>2796+65+3</f>
        <v>2864</v>
      </c>
      <c r="E11" s="15">
        <f>61+162+5084</f>
        <v>5307</v>
      </c>
      <c r="F11" s="15">
        <v>6742</v>
      </c>
      <c r="G11" s="15">
        <v>6807</v>
      </c>
      <c r="H11" s="15">
        <v>6817</v>
      </c>
      <c r="I11" s="15">
        <f>'IS - Quarterly'!K11+'IS - Quarterly'!L11+'IS - Quarterly'!M11</f>
        <v>4256</v>
      </c>
    </row>
    <row r="12" spans="1:10" ht="15" x14ac:dyDescent="0.35">
      <c r="A12" s="7"/>
      <c r="B12" s="17" t="s">
        <v>8</v>
      </c>
      <c r="C12" s="18">
        <f>15+16+404</f>
        <v>435</v>
      </c>
      <c r="D12" s="18">
        <f>18+55+1012</f>
        <v>1085</v>
      </c>
      <c r="E12" s="18">
        <f>1533+3</f>
        <v>1536</v>
      </c>
      <c r="F12" s="18">
        <v>1179</v>
      </c>
      <c r="G12" s="18">
        <v>1053</v>
      </c>
      <c r="H12" s="18">
        <v>751</v>
      </c>
      <c r="I12" s="18">
        <f>'IS - Quarterly'!K12+'IS - Quarterly'!L12+'IS - Quarterly'!M12</f>
        <v>463</v>
      </c>
    </row>
    <row r="13" spans="1:10" ht="15" x14ac:dyDescent="0.35">
      <c r="A13" s="7"/>
      <c r="B13" s="7" t="s">
        <v>9</v>
      </c>
      <c r="C13" s="15">
        <f>53+123</f>
        <v>176</v>
      </c>
      <c r="D13" s="15">
        <f>39+110</f>
        <v>149</v>
      </c>
      <c r="E13" s="15">
        <f>38+45</f>
        <v>83</v>
      </c>
      <c r="F13" s="15">
        <v>44</v>
      </c>
      <c r="G13" s="15">
        <v>551</v>
      </c>
      <c r="H13" s="15">
        <v>598</v>
      </c>
      <c r="I13" s="15">
        <f>'IS - Quarterly'!K13+'IS - Quarterly'!L13+'IS - Quarterly'!M13</f>
        <v>503</v>
      </c>
    </row>
    <row r="14" spans="1:10" ht="15" x14ac:dyDescent="0.35">
      <c r="A14" s="7"/>
      <c r="B14" s="17"/>
      <c r="C14" s="67"/>
      <c r="D14" s="67"/>
      <c r="E14" s="67"/>
      <c r="F14" s="67"/>
      <c r="G14" s="67"/>
      <c r="H14" s="67"/>
      <c r="I14" s="67"/>
    </row>
    <row r="15" spans="1:10" ht="15" x14ac:dyDescent="0.35">
      <c r="A15" s="7"/>
      <c r="B15" s="7" t="s">
        <v>10</v>
      </c>
      <c r="C15" s="15">
        <f>SUM(C10:C14)</f>
        <v>18113</v>
      </c>
      <c r="D15" s="15">
        <f t="shared" ref="D15:F15" si="1">SUM(D10:D14)</f>
        <v>16380</v>
      </c>
      <c r="E15" s="15">
        <f t="shared" si="1"/>
        <v>17569</v>
      </c>
      <c r="F15" s="15">
        <f t="shared" si="1"/>
        <v>22574</v>
      </c>
      <c r="G15" s="15">
        <f>SUM(G10:G14)</f>
        <v>30219</v>
      </c>
      <c r="H15" s="15">
        <f>SUM(H10:H14)</f>
        <v>33070</v>
      </c>
      <c r="I15" s="15">
        <f>SUM(I10:I14)</f>
        <v>16639</v>
      </c>
      <c r="J15" s="2"/>
    </row>
    <row r="16" spans="1:10" ht="15" x14ac:dyDescent="0.35">
      <c r="A16" s="7"/>
      <c r="B16" s="17"/>
      <c r="C16" s="18"/>
      <c r="D16" s="18"/>
      <c r="E16" s="18"/>
      <c r="F16" s="18"/>
      <c r="G16" s="18"/>
      <c r="H16" s="18"/>
      <c r="I16" s="18"/>
    </row>
    <row r="17" spans="1:10" ht="15" x14ac:dyDescent="0.35">
      <c r="A17" s="7"/>
      <c r="B17" s="7" t="s">
        <v>153</v>
      </c>
      <c r="C17" s="15">
        <f>'IS - Quarterly'!E17+'IS - Quarterly'!F17+'IS - Quarterly'!G17</f>
        <v>0</v>
      </c>
      <c r="D17" s="15">
        <f>'IS - Quarterly'!F17+'IS - Quarterly'!G17+'IS - Quarterly'!H17</f>
        <v>0</v>
      </c>
      <c r="E17" s="15">
        <f>'IS - Quarterly'!G17+'IS - Quarterly'!H17+'IS - Quarterly'!I17</f>
        <v>0</v>
      </c>
      <c r="F17" s="15">
        <f>'IS - Quarterly'!H17+'IS - Quarterly'!I17+'IS - Quarterly'!J17</f>
        <v>0</v>
      </c>
      <c r="G17" s="15">
        <f>'IS - Quarterly'!I17+'IS - Quarterly'!J17+'IS - Quarterly'!K17</f>
        <v>0</v>
      </c>
      <c r="H17" s="15">
        <f>'IS - Quarterly'!I17+'IS - Quarterly'!J17+'IS - Quarterly'!K17</f>
        <v>0</v>
      </c>
      <c r="I17" s="15">
        <f>'IS - Quarterly'!K17+'IS - Quarterly'!L17+'IS - Quarterly'!M17</f>
        <v>677</v>
      </c>
    </row>
    <row r="18" spans="1:10" ht="15" x14ac:dyDescent="0.35">
      <c r="A18" s="7"/>
      <c r="B18" s="7" t="s">
        <v>11</v>
      </c>
      <c r="C18" s="15">
        <v>113</v>
      </c>
      <c r="D18" s="15">
        <v>-23</v>
      </c>
      <c r="E18" s="15">
        <f>-1090-53-510</f>
        <v>-1653</v>
      </c>
      <c r="F18" s="15">
        <v>-256</v>
      </c>
      <c r="G18" s="15">
        <v>-649</v>
      </c>
      <c r="H18" s="15">
        <v>2654</v>
      </c>
      <c r="I18" s="18">
        <f>'IS - Quarterly'!K18+'IS - Quarterly'!L18+'IS - Quarterly'!M18</f>
        <v>2238</v>
      </c>
    </row>
    <row r="19" spans="1:10" ht="15" x14ac:dyDescent="0.35">
      <c r="A19" s="7"/>
      <c r="B19" s="7" t="s">
        <v>12</v>
      </c>
      <c r="C19" s="15">
        <v>0</v>
      </c>
      <c r="D19" s="15">
        <v>0</v>
      </c>
      <c r="E19" s="15">
        <v>0</v>
      </c>
      <c r="F19" s="15">
        <v>-1421</v>
      </c>
      <c r="G19" s="15">
        <v>0</v>
      </c>
      <c r="H19" s="15">
        <v>0</v>
      </c>
      <c r="I19" s="15">
        <f>'IS - Quarterly'!K19+'IS - Quarterly'!L19+'IS - Quarterly'!M19</f>
        <v>0</v>
      </c>
    </row>
    <row r="20" spans="1:10" ht="15" x14ac:dyDescent="0.35">
      <c r="A20" s="7"/>
      <c r="B20" s="7" t="s">
        <v>13</v>
      </c>
      <c r="C20" s="15">
        <v>-10</v>
      </c>
      <c r="D20" s="15">
        <v>-7</v>
      </c>
      <c r="E20" s="15">
        <v>-104</v>
      </c>
      <c r="F20" s="15">
        <v>-177</v>
      </c>
      <c r="G20" s="15">
        <v>-1863</v>
      </c>
      <c r="H20" s="15">
        <v>-559</v>
      </c>
      <c r="I20" s="18">
        <f>'IS - Quarterly'!K20+'IS - Quarterly'!L20+'IS - Quarterly'!M20</f>
        <v>-91</v>
      </c>
    </row>
    <row r="21" spans="1:10" ht="15" x14ac:dyDescent="0.35">
      <c r="A21" s="7"/>
      <c r="B21" s="7" t="s">
        <v>14</v>
      </c>
      <c r="C21" s="15">
        <f>485+809</f>
        <v>1294</v>
      </c>
      <c r="D21" s="15">
        <f>-639+202</f>
        <v>-437</v>
      </c>
      <c r="E21" s="15">
        <f>641+115</f>
        <v>756</v>
      </c>
      <c r="F21" s="15">
        <v>1056</v>
      </c>
      <c r="G21" s="15">
        <v>4716</v>
      </c>
      <c r="H21" s="15">
        <v>5424</v>
      </c>
      <c r="I21" s="15">
        <f>'IS - Quarterly'!K21+'IS - Quarterly'!L21+'IS - Quarterly'!M21</f>
        <v>5225</v>
      </c>
    </row>
    <row r="22" spans="1:10" ht="15" x14ac:dyDescent="0.35">
      <c r="A22" s="7"/>
      <c r="B22" s="7"/>
      <c r="C22" s="19"/>
      <c r="D22" s="19"/>
      <c r="E22" s="19"/>
      <c r="F22" s="19"/>
      <c r="G22" s="19"/>
      <c r="H22" s="19"/>
      <c r="I22" s="19"/>
    </row>
    <row r="23" spans="1:10" ht="15" x14ac:dyDescent="0.35">
      <c r="A23" s="7"/>
      <c r="B23" s="10" t="s">
        <v>155</v>
      </c>
      <c r="C23" s="15">
        <f t="shared" ref="C23:F23" si="2">C7-C15-SUM(C18:C22)</f>
        <v>6561</v>
      </c>
      <c r="D23" s="15">
        <f t="shared" si="2"/>
        <v>-3716</v>
      </c>
      <c r="E23" s="15">
        <f t="shared" si="2"/>
        <v>-576</v>
      </c>
      <c r="F23" s="15">
        <f t="shared" si="2"/>
        <v>2342</v>
      </c>
      <c r="G23" s="15">
        <f>G7-G15-SUM(G18:G22)</f>
        <v>-11785</v>
      </c>
      <c r="H23" s="15">
        <f>H7-H15-SUM(H18:H22)</f>
        <v>-19647</v>
      </c>
      <c r="I23" s="15">
        <f>I7-I15-SUM(I17:I22)</f>
        <v>-13497</v>
      </c>
    </row>
    <row r="24" spans="1:10" ht="15" x14ac:dyDescent="0.35">
      <c r="A24" s="7"/>
      <c r="B24" s="7" t="s">
        <v>15</v>
      </c>
      <c r="C24" s="15">
        <v>0</v>
      </c>
      <c r="D24" s="15">
        <v>0</v>
      </c>
      <c r="E24" s="15">
        <v>0</v>
      </c>
      <c r="F24" s="15">
        <v>0</v>
      </c>
      <c r="G24" s="15">
        <v>0</v>
      </c>
      <c r="H24" s="15">
        <v>0</v>
      </c>
      <c r="I24" s="18">
        <f>'IS - Quarterly'!K24+'IS - Quarterly'!L24+'IS - Quarterly'!M24</f>
        <v>0</v>
      </c>
    </row>
    <row r="25" spans="1:10" ht="15" x14ac:dyDescent="0.35">
      <c r="A25" s="7"/>
      <c r="B25" s="7"/>
      <c r="C25" s="15"/>
      <c r="D25" s="15"/>
      <c r="E25" s="15"/>
      <c r="F25" s="15"/>
      <c r="G25" s="15"/>
      <c r="H25" s="15"/>
      <c r="I25" s="15"/>
    </row>
    <row r="26" spans="1:10" ht="15.6" thickBot="1" x14ac:dyDescent="0.4">
      <c r="A26" s="7"/>
      <c r="B26" s="10" t="s">
        <v>16</v>
      </c>
      <c r="C26" s="20">
        <f>SUM(C23:C25)</f>
        <v>6561</v>
      </c>
      <c r="D26" s="20">
        <f t="shared" ref="D26:F26" si="3">SUM(D23:D25)</f>
        <v>-3716</v>
      </c>
      <c r="E26" s="20">
        <f t="shared" si="3"/>
        <v>-576</v>
      </c>
      <c r="F26" s="20">
        <f t="shared" si="3"/>
        <v>2342</v>
      </c>
      <c r="G26" s="20">
        <f>SUM(G23:G25)</f>
        <v>-11785</v>
      </c>
      <c r="H26" s="20">
        <f>SUM(H23:H25)</f>
        <v>-19647</v>
      </c>
      <c r="I26" s="20">
        <f>SUM(I23:I25)</f>
        <v>-13497</v>
      </c>
      <c r="J26" s="2"/>
    </row>
    <row r="27" spans="1:10" ht="15.6" thickTop="1" x14ac:dyDescent="0.35">
      <c r="A27" s="7"/>
      <c r="B27" s="7" t="s">
        <v>17</v>
      </c>
      <c r="C27" s="15">
        <f>+C26+C21+C20+C13</f>
        <v>8021</v>
      </c>
      <c r="D27" s="15">
        <f>+D26+D21+D20+D13</f>
        <v>-4011</v>
      </c>
      <c r="E27" s="15">
        <f>+E26+E21+E20+E13</f>
        <v>159</v>
      </c>
      <c r="F27" s="15">
        <f>+F26+F21+F20+F13</f>
        <v>3265</v>
      </c>
      <c r="G27" s="15">
        <f t="shared" ref="G27" si="4">+G26+G21+G20+G13</f>
        <v>-8381</v>
      </c>
      <c r="H27" s="15">
        <f>+H26+H21+H20+H13</f>
        <v>-14184</v>
      </c>
      <c r="I27" s="15">
        <f>'IS - Quarterly'!K27+'IS - Quarterly'!L27+'IS - Quarterly'!M27</f>
        <v>-7770</v>
      </c>
    </row>
    <row r="28" spans="1:10" ht="15" x14ac:dyDescent="0.35">
      <c r="A28" s="7"/>
      <c r="B28" s="7" t="s">
        <v>18</v>
      </c>
      <c r="C28" s="15">
        <f>+C27+269+474+1276</f>
        <v>10040</v>
      </c>
      <c r="D28" s="15">
        <f>+D27+291+878</f>
        <v>-2842</v>
      </c>
      <c r="E28" s="15">
        <v>3462</v>
      </c>
      <c r="F28" s="15">
        <v>5519</v>
      </c>
      <c r="G28" s="15">
        <v>-1251</v>
      </c>
      <c r="H28" s="15">
        <v>-2710</v>
      </c>
      <c r="I28" s="15">
        <f>'IS - Quarterly'!K28+'IS - Quarterly'!L28+'IS - Quarterly'!M28</f>
        <v>-2071</v>
      </c>
      <c r="J28" s="2"/>
    </row>
    <row r="29" spans="1:10" ht="15" x14ac:dyDescent="0.35">
      <c r="A29" s="7"/>
      <c r="B29" s="7"/>
      <c r="C29" s="7"/>
      <c r="D29" s="7"/>
      <c r="E29" s="7"/>
      <c r="F29" s="7"/>
      <c r="G29" s="7"/>
      <c r="H29" s="7"/>
      <c r="I29" s="7"/>
    </row>
    <row r="30" spans="1:10" ht="15" x14ac:dyDescent="0.35">
      <c r="A30" s="7"/>
      <c r="B30" s="17" t="s">
        <v>19</v>
      </c>
      <c r="C30" s="68">
        <f>24226.0802703747/20</f>
        <v>1211.304013518735</v>
      </c>
      <c r="D30" s="68">
        <v>873.81200000000001</v>
      </c>
      <c r="E30" s="68">
        <v>889.23699999999997</v>
      </c>
      <c r="F30" s="18">
        <v>900.12300000000005</v>
      </c>
      <c r="G30" s="18">
        <v>1004.6559999999999</v>
      </c>
      <c r="H30" s="18">
        <v>1099.7349999999999</v>
      </c>
      <c r="I30" s="18">
        <v>1685</v>
      </c>
    </row>
    <row r="31" spans="1:10" ht="15" x14ac:dyDescent="0.35">
      <c r="A31" s="7"/>
      <c r="B31" s="7" t="s">
        <v>20</v>
      </c>
      <c r="C31" s="21">
        <f>28893.9300182407/20</f>
        <v>1444.6965009120349</v>
      </c>
      <c r="D31" s="21">
        <v>873.81200000000001</v>
      </c>
      <c r="E31" s="21">
        <v>889.23699999999997</v>
      </c>
      <c r="F31" s="15">
        <f>19822/20</f>
        <v>991.1</v>
      </c>
      <c r="G31" s="15">
        <v>1004.6559999999999</v>
      </c>
      <c r="H31" s="15">
        <v>1099.7349999999999</v>
      </c>
      <c r="I31" s="15">
        <v>1685</v>
      </c>
    </row>
    <row r="32" spans="1:10" ht="15" x14ac:dyDescent="0.35">
      <c r="A32" s="7"/>
      <c r="B32" s="17"/>
      <c r="C32" s="17"/>
      <c r="D32" s="17"/>
      <c r="E32" s="17"/>
      <c r="F32" s="69"/>
      <c r="G32" s="17"/>
      <c r="H32" s="17"/>
      <c r="I32" s="17"/>
    </row>
    <row r="33" spans="1:9" ht="15" x14ac:dyDescent="0.35">
      <c r="A33" s="7"/>
      <c r="B33" s="7" t="s">
        <v>21</v>
      </c>
      <c r="C33" s="22">
        <f t="shared" ref="C33:F34" si="5">C$26/C30</f>
        <v>5.4164767282004238</v>
      </c>
      <c r="D33" s="22">
        <f t="shared" si="5"/>
        <v>-4.25263100071869</v>
      </c>
      <c r="E33" s="22">
        <f t="shared" si="5"/>
        <v>-0.64774632634494522</v>
      </c>
      <c r="F33" s="23">
        <f t="shared" si="5"/>
        <v>2.6018666337822718</v>
      </c>
      <c r="G33" s="23">
        <f t="shared" ref="G33" si="6">G$26/G30</f>
        <v>-11.73038333519135</v>
      </c>
      <c r="H33" s="23">
        <f>H$26/H30</f>
        <v>-17.865212983127755</v>
      </c>
      <c r="I33" s="23">
        <f>I$26/I30</f>
        <v>-8.0100890207715132</v>
      </c>
    </row>
    <row r="34" spans="1:9" ht="15" x14ac:dyDescent="0.35">
      <c r="A34" s="7"/>
      <c r="B34" s="7" t="s">
        <v>22</v>
      </c>
      <c r="C34" s="22">
        <f t="shared" si="5"/>
        <v>4.5414382853824655</v>
      </c>
      <c r="D34" s="22">
        <f t="shared" si="5"/>
        <v>-4.25263100071869</v>
      </c>
      <c r="E34" s="22">
        <f t="shared" si="5"/>
        <v>-0.64774632634494522</v>
      </c>
      <c r="F34" s="23">
        <f t="shared" si="5"/>
        <v>2.3630309756835839</v>
      </c>
      <c r="G34" s="23">
        <f t="shared" ref="G34" si="7">G$26/G31</f>
        <v>-11.73038333519135</v>
      </c>
      <c r="H34" s="23">
        <f>H$26/H31</f>
        <v>-17.865212983127755</v>
      </c>
      <c r="I34" s="23">
        <f>I$26/I31</f>
        <v>-8.0100890207715132</v>
      </c>
    </row>
    <row r="35" spans="1:9" ht="15" x14ac:dyDescent="0.35">
      <c r="A35" s="7"/>
      <c r="B35" s="7"/>
      <c r="C35" s="22"/>
      <c r="D35" s="22"/>
      <c r="E35" s="22"/>
      <c r="F35" s="23"/>
      <c r="G35" s="23"/>
      <c r="H35" s="23"/>
      <c r="I35" s="23"/>
    </row>
    <row r="36" spans="1:9" ht="15" x14ac:dyDescent="0.35">
      <c r="A36" s="7"/>
      <c r="B36" s="7" t="s">
        <v>23</v>
      </c>
      <c r="C36" s="24">
        <v>82402</v>
      </c>
      <c r="D36" s="24">
        <v>31903</v>
      </c>
      <c r="E36" s="24">
        <v>99132</v>
      </c>
      <c r="F36" s="24">
        <v>85574</v>
      </c>
      <c r="G36" s="15">
        <f>74857</f>
        <v>74857</v>
      </c>
      <c r="H36" s="15">
        <v>68959</v>
      </c>
      <c r="I36" s="15">
        <f>SUM('IS - Quarterly'!K36:M36)</f>
        <v>15302</v>
      </c>
    </row>
    <row r="37" spans="1:9" ht="15" x14ac:dyDescent="0.35">
      <c r="A37" s="7"/>
      <c r="B37" s="7" t="s">
        <v>24</v>
      </c>
      <c r="C37" s="24">
        <v>204755</v>
      </c>
      <c r="D37" s="24">
        <v>226486</v>
      </c>
      <c r="E37" s="24">
        <v>306899</v>
      </c>
      <c r="F37" s="24">
        <v>383189</v>
      </c>
      <c r="G37" s="15">
        <v>437625</v>
      </c>
      <c r="H37" s="15">
        <f>'IS - Quarterly'!J37</f>
        <v>492542</v>
      </c>
      <c r="I37" s="15">
        <f>'IS - Quarterly'!M37</f>
        <v>505989</v>
      </c>
    </row>
    <row r="38" spans="1:9" ht="15" x14ac:dyDescent="0.35">
      <c r="A38" s="7"/>
      <c r="B38" s="7" t="s">
        <v>126</v>
      </c>
      <c r="C38" s="24">
        <v>395816</v>
      </c>
      <c r="D38" s="24">
        <v>419700</v>
      </c>
      <c r="E38" s="24">
        <v>601168</v>
      </c>
      <c r="F38" s="24">
        <v>745514</v>
      </c>
      <c r="G38" s="15">
        <v>741190</v>
      </c>
      <c r="H38" s="15">
        <f>'IS - Quarterly'!J38</f>
        <v>794923</v>
      </c>
      <c r="I38" s="15">
        <f>'IS - Quarterly'!M38</f>
        <v>797033</v>
      </c>
    </row>
    <row r="39" spans="1:9" ht="15" x14ac:dyDescent="0.35">
      <c r="A39" s="7"/>
      <c r="B39" s="7" t="s">
        <v>139</v>
      </c>
      <c r="C39" s="24"/>
      <c r="D39" s="24"/>
      <c r="E39" s="24"/>
      <c r="F39" s="24">
        <v>2200000</v>
      </c>
      <c r="G39" s="15">
        <v>3100000</v>
      </c>
      <c r="H39" s="15">
        <f>'IS - Quarterly'!J39</f>
        <v>2900000</v>
      </c>
      <c r="I39" s="15">
        <f>'IS - Quarterly'!M39</f>
        <v>1891000</v>
      </c>
    </row>
    <row r="40" spans="1:9" ht="15" x14ac:dyDescent="0.35">
      <c r="A40" s="7"/>
      <c r="B40" s="7" t="s">
        <v>125</v>
      </c>
      <c r="C40" s="55">
        <f>C38+C39</f>
        <v>395816</v>
      </c>
      <c r="D40" s="55">
        <f t="shared" ref="D40:G40" si="8">D38+D39</f>
        <v>419700</v>
      </c>
      <c r="E40" s="55">
        <f t="shared" si="8"/>
        <v>601168</v>
      </c>
      <c r="F40" s="55">
        <f t="shared" si="8"/>
        <v>2945514</v>
      </c>
      <c r="G40" s="55">
        <f t="shared" si="8"/>
        <v>3841190</v>
      </c>
      <c r="H40" s="55">
        <f>H38+H39</f>
        <v>3694923</v>
      </c>
      <c r="I40" s="55">
        <f>I38+I39</f>
        <v>2688033</v>
      </c>
    </row>
    <row r="41" spans="1:9" ht="15" x14ac:dyDescent="0.35">
      <c r="A41" s="7"/>
      <c r="B41" s="7"/>
      <c r="C41" s="39"/>
      <c r="D41" s="39"/>
      <c r="E41" s="39"/>
      <c r="F41" s="39"/>
      <c r="G41" s="21"/>
      <c r="H41" s="21"/>
      <c r="I41" s="21"/>
    </row>
    <row r="42" spans="1:9" ht="15" x14ac:dyDescent="0.35">
      <c r="A42" s="7"/>
      <c r="B42" s="7" t="s">
        <v>127</v>
      </c>
      <c r="C42" s="24"/>
      <c r="D42" s="24"/>
      <c r="E42" s="24"/>
      <c r="F42" s="24"/>
      <c r="G42" s="15"/>
      <c r="H42" s="15"/>
      <c r="I42" s="15">
        <f>'IS - Quarterly'!M42</f>
        <v>90454</v>
      </c>
    </row>
    <row r="43" spans="1:9" ht="15" x14ac:dyDescent="0.35">
      <c r="A43" s="7"/>
      <c r="B43" s="7"/>
      <c r="C43" s="7"/>
      <c r="D43" s="7"/>
      <c r="E43" s="7"/>
      <c r="F43" s="7"/>
      <c r="G43" s="7"/>
      <c r="H43" s="7"/>
      <c r="I43" s="7"/>
    </row>
    <row r="44" spans="1:9" ht="15" x14ac:dyDescent="0.35">
      <c r="A44" s="7"/>
      <c r="B44" s="7" t="s">
        <v>25</v>
      </c>
      <c r="C44" s="7"/>
      <c r="D44" s="7"/>
      <c r="E44" s="7"/>
      <c r="F44" s="7"/>
      <c r="G44" s="7"/>
      <c r="H44" s="7"/>
      <c r="I44" s="7"/>
    </row>
    <row r="45" spans="1:9" ht="47.25" customHeight="1" x14ac:dyDescent="0.35">
      <c r="A45" s="7"/>
      <c r="B45" s="71" t="s">
        <v>26</v>
      </c>
      <c r="C45" s="71"/>
      <c r="D45" s="71"/>
      <c r="E45" s="71"/>
      <c r="F45" s="71"/>
      <c r="G45" s="71"/>
      <c r="H45" s="71"/>
      <c r="I45" s="71"/>
    </row>
    <row r="46" spans="1:9" ht="30" customHeight="1" x14ac:dyDescent="0.35">
      <c r="A46" s="7"/>
      <c r="B46" s="71" t="s">
        <v>130</v>
      </c>
      <c r="C46" s="71"/>
      <c r="D46" s="71"/>
      <c r="E46" s="71"/>
      <c r="F46" s="71"/>
      <c r="G46" s="71"/>
      <c r="H46" s="71"/>
      <c r="I46" s="71"/>
    </row>
    <row r="48" spans="1:9" x14ac:dyDescent="0.3">
      <c r="C48" s="2"/>
      <c r="D48" s="2"/>
      <c r="E48" s="2"/>
      <c r="F48" s="2"/>
      <c r="G48" s="2"/>
      <c r="H48" s="2"/>
      <c r="I48" s="2"/>
    </row>
  </sheetData>
  <mergeCells count="2">
    <mergeCell ref="B46:I46"/>
    <mergeCell ref="B45:I45"/>
  </mergeCells>
  <conditionalFormatting sqref="B18:H21">
    <cfRule type="expression" dxfId="38" priority="13">
      <formula>MOD(ROW(),2)=0</formula>
    </cfRule>
  </conditionalFormatting>
  <conditionalFormatting sqref="B5:I7">
    <cfRule type="expression" dxfId="37" priority="24">
      <formula>MOD(ROW(),2)=0</formula>
    </cfRule>
  </conditionalFormatting>
  <conditionalFormatting sqref="B10:I15">
    <cfRule type="expression" dxfId="36" priority="8">
      <formula>MOD(ROW(),2)=0</formula>
    </cfRule>
  </conditionalFormatting>
  <conditionalFormatting sqref="B22:I28">
    <cfRule type="expression" dxfId="35" priority="1">
      <formula>MOD(ROW(),2)=0</formula>
    </cfRule>
  </conditionalFormatting>
  <conditionalFormatting sqref="B30:I31">
    <cfRule type="expression" dxfId="34" priority="25">
      <formula>MOD(ROW(),2)=0</formula>
    </cfRule>
  </conditionalFormatting>
  <conditionalFormatting sqref="B33:I34">
    <cfRule type="expression" dxfId="33" priority="18">
      <formula>MOD(ROW(),2)=0</formula>
    </cfRule>
  </conditionalFormatting>
  <conditionalFormatting sqref="B36:I42">
    <cfRule type="expression" dxfId="32" priority="16">
      <formula>MOD(ROW(),2)=0</formula>
    </cfRule>
  </conditionalFormatting>
  <conditionalFormatting sqref="C17:H17">
    <cfRule type="expression" dxfId="31" priority="15">
      <formula>MOD(ROW(),2)=0</formula>
    </cfRule>
  </conditionalFormatting>
  <conditionalFormatting sqref="I17:I21">
    <cfRule type="expression" dxfId="30" priority="3">
      <formula>MOD(ROW(),2)=0</formula>
    </cfRule>
  </conditionalFormatting>
  <pageMargins left="0.7" right="0.7" top="0.75" bottom="0.75" header="0.3" footer="0.3"/>
  <pageSetup scale="7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2BD9-1A5F-C248-B7DE-2AFE44D82195}">
  <sheetPr>
    <tabColor rgb="FF4AAFA0"/>
    <pageSetUpPr fitToPage="1"/>
  </sheetPr>
  <dimension ref="A1:L4"/>
  <sheetViews>
    <sheetView showGridLines="0" view="pageBreakPreview" topLeftCell="A16" zoomScaleNormal="100" zoomScaleSheetLayoutView="100" workbookViewId="0">
      <selection activeCell="H40" sqref="H40"/>
    </sheetView>
  </sheetViews>
  <sheetFormatPr defaultColWidth="11.44140625" defaultRowHeight="14.4" x14ac:dyDescent="0.3"/>
  <sheetData>
    <row r="1" spans="1:12" x14ac:dyDescent="0.3">
      <c r="A1" s="57" t="s">
        <v>132</v>
      </c>
    </row>
    <row r="4" spans="1:12" x14ac:dyDescent="0.3"/>
  </sheetData>
  <pageMargins left="0.7" right="0.7" top="0.75" bottom="0.75" header="0.3" footer="0.3"/>
  <pageSetup scale="7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AD4-217B-9141-9285-33F8B3C269C8}">
  <sheetPr>
    <tabColor rgb="FF4AAFA0"/>
    <pageSetUpPr fitToPage="1"/>
  </sheetPr>
  <dimension ref="A1:M61"/>
  <sheetViews>
    <sheetView showGridLines="0" view="pageBreakPreview" zoomScaleNormal="100" workbookViewId="0">
      <pane xSplit="4" ySplit="2" topLeftCell="F17" activePane="bottomRight" state="frozen"/>
      <selection activeCell="S37" sqref="S37"/>
      <selection pane="topRight" activeCell="S37" sqref="S37"/>
      <selection pane="bottomLeft" activeCell="S37" sqref="S37"/>
      <selection pane="bottomRight" activeCell="M43" sqref="M43"/>
    </sheetView>
  </sheetViews>
  <sheetFormatPr defaultColWidth="8.88671875" defaultRowHeight="14.4" x14ac:dyDescent="0.3"/>
  <cols>
    <col min="1" max="1" width="4.88671875" customWidth="1"/>
    <col min="2" max="2" width="47.44140625" customWidth="1"/>
    <col min="3" max="4" width="11.6640625" hidden="1" customWidth="1"/>
    <col min="5" max="13" width="11.6640625" customWidth="1"/>
  </cols>
  <sheetData>
    <row r="1" spans="1:13" ht="15" x14ac:dyDescent="0.35">
      <c r="A1" s="7"/>
      <c r="B1" s="7"/>
      <c r="C1" s="8" t="s">
        <v>27</v>
      </c>
      <c r="D1" s="8" t="s">
        <v>27</v>
      </c>
      <c r="E1" s="8" t="s">
        <v>27</v>
      </c>
      <c r="F1" s="8" t="s">
        <v>27</v>
      </c>
      <c r="G1" s="8" t="s">
        <v>27</v>
      </c>
      <c r="H1" s="8" t="s">
        <v>27</v>
      </c>
      <c r="I1" s="8" t="s">
        <v>27</v>
      </c>
      <c r="J1" s="8" t="s">
        <v>27</v>
      </c>
      <c r="K1" s="8" t="s">
        <v>27</v>
      </c>
      <c r="L1" s="8" t="s">
        <v>27</v>
      </c>
      <c r="M1" s="8" t="s">
        <v>27</v>
      </c>
    </row>
    <row r="2" spans="1:13" ht="15" x14ac:dyDescent="0.35">
      <c r="A2" s="7"/>
      <c r="B2" s="56" t="s">
        <v>131</v>
      </c>
      <c r="C2" s="9" t="s">
        <v>28</v>
      </c>
      <c r="D2" s="9" t="s">
        <v>29</v>
      </c>
      <c r="E2" s="9" t="s">
        <v>30</v>
      </c>
      <c r="F2" s="9" t="s">
        <v>31</v>
      </c>
      <c r="G2" s="9" t="s">
        <v>32</v>
      </c>
      <c r="H2" s="9" t="s">
        <v>33</v>
      </c>
      <c r="I2" s="9" t="s">
        <v>34</v>
      </c>
      <c r="J2" s="9" t="s">
        <v>124</v>
      </c>
      <c r="K2" s="9" t="s">
        <v>140</v>
      </c>
      <c r="L2" s="9" t="s">
        <v>148</v>
      </c>
      <c r="M2" s="9" t="s">
        <v>151</v>
      </c>
    </row>
    <row r="3" spans="1:13" ht="15" x14ac:dyDescent="0.35">
      <c r="A3" s="7"/>
      <c r="B3" s="7"/>
      <c r="C3" s="7"/>
      <c r="D3" s="7"/>
      <c r="E3" s="7"/>
      <c r="F3" s="7"/>
      <c r="G3" s="7"/>
      <c r="H3" s="7"/>
      <c r="I3" s="7"/>
      <c r="J3" s="7"/>
      <c r="K3" s="7"/>
      <c r="L3" s="7"/>
      <c r="M3" s="7"/>
    </row>
    <row r="4" spans="1:13" ht="15" x14ac:dyDescent="0.35">
      <c r="A4" s="10" t="s">
        <v>1</v>
      </c>
      <c r="B4" s="7"/>
      <c r="C4" s="7"/>
      <c r="D4" s="7"/>
      <c r="E4" s="7"/>
      <c r="F4" s="7"/>
      <c r="G4" s="7"/>
      <c r="H4" s="7"/>
      <c r="I4" s="7"/>
      <c r="J4" s="7"/>
      <c r="K4" s="7"/>
      <c r="L4" s="7"/>
      <c r="M4" s="7"/>
    </row>
    <row r="5" spans="1:13" ht="15" x14ac:dyDescent="0.35">
      <c r="A5" s="7"/>
      <c r="B5" s="7" t="s">
        <v>2</v>
      </c>
      <c r="C5" s="11">
        <v>3924</v>
      </c>
      <c r="D5" s="11">
        <v>3348</v>
      </c>
      <c r="E5" s="11">
        <v>3704</v>
      </c>
      <c r="F5" s="11">
        <v>6005</v>
      </c>
      <c r="G5" s="11">
        <v>4555</v>
      </c>
      <c r="H5" s="25">
        <v>4179</v>
      </c>
      <c r="I5" s="11">
        <v>7242</v>
      </c>
      <c r="J5" s="11">
        <v>4587</v>
      </c>
      <c r="K5" s="11">
        <v>3542</v>
      </c>
      <c r="L5" s="11">
        <v>4103</v>
      </c>
      <c r="M5" s="11">
        <v>3514</v>
      </c>
    </row>
    <row r="6" spans="1:13" ht="15" x14ac:dyDescent="0.35">
      <c r="A6" s="7"/>
      <c r="B6" s="12" t="s">
        <v>3</v>
      </c>
      <c r="C6" s="13">
        <v>2426</v>
      </c>
      <c r="D6" s="13">
        <v>24</v>
      </c>
      <c r="E6" s="13">
        <v>24</v>
      </c>
      <c r="F6" s="26">
        <v>1182</v>
      </c>
      <c r="G6" s="13">
        <v>171</v>
      </c>
      <c r="H6" s="13">
        <v>33</v>
      </c>
      <c r="I6" s="13">
        <v>174</v>
      </c>
      <c r="J6" s="13">
        <v>1</v>
      </c>
      <c r="K6" s="13">
        <v>7</v>
      </c>
      <c r="L6" s="13">
        <v>23</v>
      </c>
      <c r="M6" s="13">
        <v>2</v>
      </c>
    </row>
    <row r="7" spans="1:13" ht="15" x14ac:dyDescent="0.35">
      <c r="A7" s="7"/>
      <c r="B7" s="7" t="s">
        <v>4</v>
      </c>
      <c r="C7" s="14">
        <f t="shared" ref="C7:G7" si="0">SUM(C5:C6)</f>
        <v>6350</v>
      </c>
      <c r="D7" s="14">
        <f t="shared" si="0"/>
        <v>3372</v>
      </c>
      <c r="E7" s="14">
        <f t="shared" si="0"/>
        <v>3728</v>
      </c>
      <c r="F7" s="14">
        <f t="shared" si="0"/>
        <v>7187</v>
      </c>
      <c r="G7" s="14">
        <f t="shared" si="0"/>
        <v>4726</v>
      </c>
      <c r="H7" s="27">
        <f t="shared" ref="H7:M7" si="1">SUM(H5:H6)</f>
        <v>4212</v>
      </c>
      <c r="I7" s="14">
        <f t="shared" si="1"/>
        <v>7416</v>
      </c>
      <c r="J7" s="14">
        <f t="shared" si="1"/>
        <v>4588</v>
      </c>
      <c r="K7" s="14">
        <f t="shared" si="1"/>
        <v>3549</v>
      </c>
      <c r="L7" s="14">
        <f t="shared" si="1"/>
        <v>4126</v>
      </c>
      <c r="M7" s="14">
        <f t="shared" si="1"/>
        <v>3516</v>
      </c>
    </row>
    <row r="8" spans="1:13" ht="15" x14ac:dyDescent="0.35">
      <c r="A8" s="7"/>
      <c r="B8" s="7"/>
      <c r="C8" s="15"/>
      <c r="D8" s="7"/>
      <c r="E8" s="7"/>
      <c r="F8" s="7"/>
      <c r="G8" s="7"/>
      <c r="H8" s="7"/>
      <c r="I8" s="7"/>
      <c r="J8" s="7"/>
      <c r="K8" s="16"/>
      <c r="L8" s="16"/>
      <c r="M8" s="16"/>
    </row>
    <row r="9" spans="1:13" ht="15" x14ac:dyDescent="0.35">
      <c r="A9" s="10" t="s">
        <v>5</v>
      </c>
      <c r="B9" s="7"/>
      <c r="C9" s="15"/>
      <c r="D9" s="15"/>
      <c r="E9" s="15"/>
      <c r="F9" s="15"/>
      <c r="G9" s="15"/>
      <c r="H9" s="24"/>
      <c r="I9" s="15"/>
      <c r="J9" s="15"/>
      <c r="K9" s="15"/>
      <c r="L9" s="15"/>
      <c r="M9" s="15"/>
    </row>
    <row r="10" spans="1:13" ht="15" x14ac:dyDescent="0.35">
      <c r="A10" s="7"/>
      <c r="B10" s="7" t="s">
        <v>6</v>
      </c>
      <c r="C10" s="15">
        <v>4457</v>
      </c>
      <c r="D10" s="15">
        <v>6731</v>
      </c>
      <c r="E10" s="15">
        <v>4724</v>
      </c>
      <c r="F10" s="21">
        <v>5896</v>
      </c>
      <c r="G10" s="15">
        <v>5484</v>
      </c>
      <c r="H10" s="24">
        <v>5760</v>
      </c>
      <c r="I10" s="15">
        <v>4727</v>
      </c>
      <c r="J10" s="15">
        <v>8933</v>
      </c>
      <c r="K10" s="18">
        <f>508+3660</f>
        <v>4168</v>
      </c>
      <c r="L10" s="18">
        <v>3841</v>
      </c>
      <c r="M10" s="18">
        <v>3408</v>
      </c>
    </row>
    <row r="11" spans="1:13" ht="15" x14ac:dyDescent="0.35">
      <c r="A11" s="7"/>
      <c r="B11" s="7" t="s">
        <v>7</v>
      </c>
      <c r="C11" s="15">
        <v>1610</v>
      </c>
      <c r="D11" s="15">
        <v>1398</v>
      </c>
      <c r="E11" s="15">
        <v>1651</v>
      </c>
      <c r="F11" s="21">
        <v>2148</v>
      </c>
      <c r="G11" s="15">
        <v>1949</v>
      </c>
      <c r="H11" s="24">
        <v>2091</v>
      </c>
      <c r="I11" s="15">
        <v>1450</v>
      </c>
      <c r="J11" s="15">
        <v>1327</v>
      </c>
      <c r="K11" s="15">
        <v>1592</v>
      </c>
      <c r="L11" s="15">
        <v>1183</v>
      </c>
      <c r="M11" s="15">
        <v>1481</v>
      </c>
    </row>
    <row r="12" spans="1:13" ht="15" x14ac:dyDescent="0.35">
      <c r="A12" s="7"/>
      <c r="B12" s="7" t="s">
        <v>8</v>
      </c>
      <c r="C12" s="15">
        <v>353</v>
      </c>
      <c r="D12" s="15">
        <v>326</v>
      </c>
      <c r="E12" s="15">
        <v>208</v>
      </c>
      <c r="F12" s="21">
        <v>166</v>
      </c>
      <c r="G12" s="15">
        <v>106</v>
      </c>
      <c r="H12" s="24">
        <v>227</v>
      </c>
      <c r="I12" s="15">
        <v>175</v>
      </c>
      <c r="J12" s="15">
        <v>243</v>
      </c>
      <c r="K12" s="18">
        <v>165</v>
      </c>
      <c r="L12" s="18">
        <v>147</v>
      </c>
      <c r="M12" s="18">
        <v>151</v>
      </c>
    </row>
    <row r="13" spans="1:13" ht="15" x14ac:dyDescent="0.35">
      <c r="A13" s="7"/>
      <c r="B13" s="7" t="s">
        <v>9</v>
      </c>
      <c r="C13" s="15">
        <v>32</v>
      </c>
      <c r="D13" s="15">
        <v>92</v>
      </c>
      <c r="E13" s="15">
        <v>73</v>
      </c>
      <c r="F13" s="21">
        <v>354</v>
      </c>
      <c r="G13" s="15">
        <v>183</v>
      </c>
      <c r="H13" s="24">
        <v>119</v>
      </c>
      <c r="I13" s="15">
        <v>145</v>
      </c>
      <c r="J13" s="15">
        <v>151</v>
      </c>
      <c r="K13" s="15">
        <v>162</v>
      </c>
      <c r="L13" s="15">
        <v>174</v>
      </c>
      <c r="M13" s="15">
        <v>167</v>
      </c>
    </row>
    <row r="14" spans="1:13" ht="15" x14ac:dyDescent="0.35">
      <c r="A14" s="7"/>
      <c r="B14" s="7"/>
      <c r="C14" s="19"/>
      <c r="D14" s="19"/>
      <c r="E14" s="19"/>
      <c r="F14" s="19"/>
      <c r="G14" s="19"/>
      <c r="H14" s="28"/>
      <c r="I14" s="19"/>
      <c r="J14" s="19"/>
      <c r="K14" s="19"/>
      <c r="L14" s="19"/>
      <c r="M14" s="19"/>
    </row>
    <row r="15" spans="1:13" ht="15" x14ac:dyDescent="0.35">
      <c r="A15" s="7"/>
      <c r="B15" s="7" t="s">
        <v>10</v>
      </c>
      <c r="C15" s="15">
        <f>SUM(C10:C14)</f>
        <v>6452</v>
      </c>
      <c r="D15" s="15">
        <f t="shared" ref="D15:H15" si="2">SUM(D10:D14)</f>
        <v>8547</v>
      </c>
      <c r="E15" s="15">
        <f t="shared" si="2"/>
        <v>6656</v>
      </c>
      <c r="F15" s="15">
        <f>SUM(F10:F14)</f>
        <v>8564</v>
      </c>
      <c r="G15" s="15">
        <f t="shared" si="2"/>
        <v>7722</v>
      </c>
      <c r="H15" s="24">
        <f t="shared" si="2"/>
        <v>8197</v>
      </c>
      <c r="I15" s="15">
        <f t="shared" ref="I15" si="3">SUM(I10:I14)</f>
        <v>6497</v>
      </c>
      <c r="J15" s="15">
        <f>SUM(J10:J14)</f>
        <v>10654</v>
      </c>
      <c r="K15" s="15">
        <f>SUM(K10:K14)</f>
        <v>6087</v>
      </c>
      <c r="L15" s="15">
        <f>SUM(L10:L14)</f>
        <v>5345</v>
      </c>
      <c r="M15" s="15">
        <f>SUM(M10:M14)</f>
        <v>5207</v>
      </c>
    </row>
    <row r="16" spans="1:13" ht="15" x14ac:dyDescent="0.35">
      <c r="A16" s="7"/>
      <c r="B16" s="7"/>
      <c r="C16" s="15"/>
      <c r="D16" s="15"/>
      <c r="E16" s="15"/>
      <c r="F16" s="15"/>
      <c r="G16" s="15"/>
      <c r="H16" s="24"/>
      <c r="I16" s="15"/>
      <c r="J16" s="15"/>
      <c r="K16" s="15"/>
      <c r="L16" s="15"/>
      <c r="M16" s="15"/>
    </row>
    <row r="17" spans="1:13" ht="15" x14ac:dyDescent="0.35">
      <c r="A17" s="7"/>
      <c r="B17" s="7" t="s">
        <v>153</v>
      </c>
      <c r="C17" s="15"/>
      <c r="D17" s="15"/>
      <c r="E17" s="15">
        <v>0</v>
      </c>
      <c r="F17" s="21">
        <v>0</v>
      </c>
      <c r="G17" s="15">
        <v>0</v>
      </c>
      <c r="H17" s="24">
        <v>0</v>
      </c>
      <c r="I17" s="15">
        <v>0</v>
      </c>
      <c r="J17" s="15">
        <v>0</v>
      </c>
      <c r="K17" s="15">
        <v>0</v>
      </c>
      <c r="L17" s="15">
        <v>0</v>
      </c>
      <c r="M17" s="15">
        <v>677</v>
      </c>
    </row>
    <row r="18" spans="1:13" ht="15" x14ac:dyDescent="0.35">
      <c r="A18" s="7"/>
      <c r="B18" s="7" t="s">
        <v>149</v>
      </c>
      <c r="C18" s="15">
        <v>152</v>
      </c>
      <c r="D18" s="15">
        <v>-297</v>
      </c>
      <c r="E18" s="15">
        <v>-149</v>
      </c>
      <c r="F18" s="21">
        <v>-355</v>
      </c>
      <c r="G18" s="15">
        <v>-452</v>
      </c>
      <c r="H18" s="24">
        <v>-490</v>
      </c>
      <c r="I18" s="15">
        <v>-526</v>
      </c>
      <c r="J18" s="15">
        <v>4122</v>
      </c>
      <c r="K18" s="15">
        <v>-6</v>
      </c>
      <c r="L18" s="15">
        <v>2014</v>
      </c>
      <c r="M18" s="15">
        <v>230</v>
      </c>
    </row>
    <row r="19" spans="1:13" ht="15" x14ac:dyDescent="0.35">
      <c r="A19" s="7"/>
      <c r="B19" s="7" t="s">
        <v>12</v>
      </c>
      <c r="C19" s="15"/>
      <c r="D19" s="15"/>
      <c r="E19" s="15">
        <v>0</v>
      </c>
      <c r="F19" s="21">
        <v>0</v>
      </c>
      <c r="G19" s="15">
        <v>0</v>
      </c>
      <c r="H19" s="24">
        <v>0</v>
      </c>
      <c r="I19" s="15">
        <v>0</v>
      </c>
      <c r="J19" s="15">
        <v>0</v>
      </c>
      <c r="K19" s="15">
        <v>0</v>
      </c>
      <c r="L19" s="15">
        <v>0</v>
      </c>
      <c r="M19" s="15">
        <v>0</v>
      </c>
    </row>
    <row r="20" spans="1:13" ht="15" x14ac:dyDescent="0.35">
      <c r="A20" s="7"/>
      <c r="B20" s="7" t="s">
        <v>13</v>
      </c>
      <c r="C20" s="15">
        <v>-252</v>
      </c>
      <c r="D20" s="15">
        <v>-497</v>
      </c>
      <c r="E20" s="15">
        <v>-730</v>
      </c>
      <c r="F20" s="21">
        <v>-384</v>
      </c>
      <c r="G20" s="15">
        <v>-285</v>
      </c>
      <c r="H20" s="24">
        <v>-170</v>
      </c>
      <c r="I20" s="15">
        <v>-59</v>
      </c>
      <c r="J20" s="15">
        <v>-45</v>
      </c>
      <c r="K20" s="15">
        <v>-33</v>
      </c>
      <c r="L20" s="15">
        <v>-30</v>
      </c>
      <c r="M20" s="15">
        <v>-28</v>
      </c>
    </row>
    <row r="21" spans="1:13" ht="15" x14ac:dyDescent="0.35">
      <c r="A21" s="7"/>
      <c r="B21" s="7" t="s">
        <v>14</v>
      </c>
      <c r="C21" s="15">
        <v>832</v>
      </c>
      <c r="D21" s="15">
        <v>1260</v>
      </c>
      <c r="E21" s="15">
        <v>1317</v>
      </c>
      <c r="F21" s="21">
        <v>1307</v>
      </c>
      <c r="G21" s="15">
        <v>1295</v>
      </c>
      <c r="H21" s="24">
        <v>1315</v>
      </c>
      <c r="I21" s="15">
        <v>1348</v>
      </c>
      <c r="J21" s="15">
        <v>1466</v>
      </c>
      <c r="K21" s="15">
        <v>1611</v>
      </c>
      <c r="L21" s="15">
        <v>1738</v>
      </c>
      <c r="M21" s="15">
        <v>1876</v>
      </c>
    </row>
    <row r="22" spans="1:13" ht="15" x14ac:dyDescent="0.35">
      <c r="A22" s="7"/>
      <c r="B22" s="7"/>
      <c r="C22" s="19"/>
      <c r="D22" s="19"/>
      <c r="E22" s="19"/>
      <c r="F22" s="19"/>
      <c r="G22" s="19"/>
      <c r="H22" s="28"/>
      <c r="I22" s="19"/>
      <c r="J22" s="19"/>
      <c r="K22" s="19"/>
      <c r="L22" s="19"/>
      <c r="M22" s="19"/>
    </row>
    <row r="23" spans="1:13" ht="15" x14ac:dyDescent="0.35">
      <c r="A23" s="7"/>
      <c r="B23" s="10" t="s">
        <v>129</v>
      </c>
      <c r="C23" s="15">
        <f>C7-C15-SUM(C18:C22)</f>
        <v>-834</v>
      </c>
      <c r="D23" s="15">
        <f>D7-D15-SUM(D18:D22)</f>
        <v>-5641</v>
      </c>
      <c r="E23" s="15">
        <f t="shared" ref="E23:M23" si="4">E7-E15-SUM(E17:E22)</f>
        <v>-3366</v>
      </c>
      <c r="F23" s="15">
        <f t="shared" si="4"/>
        <v>-1945</v>
      </c>
      <c r="G23" s="15">
        <f t="shared" si="4"/>
        <v>-3554</v>
      </c>
      <c r="H23" s="15">
        <f t="shared" si="4"/>
        <v>-4640</v>
      </c>
      <c r="I23" s="15">
        <f t="shared" si="4"/>
        <v>156</v>
      </c>
      <c r="J23" s="15">
        <f t="shared" si="4"/>
        <v>-11609</v>
      </c>
      <c r="K23" s="15">
        <f t="shared" si="4"/>
        <v>-4110</v>
      </c>
      <c r="L23" s="15">
        <f t="shared" si="4"/>
        <v>-4941</v>
      </c>
      <c r="M23" s="15">
        <f t="shared" si="4"/>
        <v>-4446</v>
      </c>
    </row>
    <row r="24" spans="1:13" ht="15" x14ac:dyDescent="0.35">
      <c r="A24" s="7"/>
      <c r="B24" s="7" t="s">
        <v>15</v>
      </c>
      <c r="C24" s="15">
        <v>0</v>
      </c>
      <c r="D24" s="15">
        <v>0</v>
      </c>
      <c r="E24" s="15">
        <v>0</v>
      </c>
      <c r="F24" s="15">
        <v>0</v>
      </c>
      <c r="G24" s="15">
        <v>0</v>
      </c>
      <c r="H24" s="24">
        <v>0</v>
      </c>
      <c r="I24" s="15">
        <v>0</v>
      </c>
      <c r="J24" s="15">
        <v>0</v>
      </c>
      <c r="K24" s="15">
        <v>0</v>
      </c>
      <c r="L24" s="15">
        <v>0</v>
      </c>
      <c r="M24" s="15">
        <v>0</v>
      </c>
    </row>
    <row r="25" spans="1:13" ht="15" x14ac:dyDescent="0.35">
      <c r="A25" s="7"/>
      <c r="B25" s="7"/>
      <c r="C25" s="15"/>
      <c r="D25" s="15"/>
      <c r="E25" s="15"/>
      <c r="F25" s="15"/>
      <c r="G25" s="15"/>
      <c r="H25" s="24"/>
      <c r="I25" s="15"/>
      <c r="J25" s="15"/>
      <c r="K25" s="15"/>
      <c r="L25" s="15"/>
      <c r="M25" s="15"/>
    </row>
    <row r="26" spans="1:13" ht="15.6" thickBot="1" x14ac:dyDescent="0.4">
      <c r="A26" s="7"/>
      <c r="B26" s="10" t="s">
        <v>16</v>
      </c>
      <c r="C26" s="20">
        <f>SUM(C23:C25)</f>
        <v>-834</v>
      </c>
      <c r="D26" s="20">
        <f>SUM(D23:D25)</f>
        <v>-5641</v>
      </c>
      <c r="E26" s="20">
        <f t="shared" ref="E26:H26" si="5">SUM(E23:E25)</f>
        <v>-3366</v>
      </c>
      <c r="F26" s="20">
        <f t="shared" si="5"/>
        <v>-1945</v>
      </c>
      <c r="G26" s="20">
        <f t="shared" si="5"/>
        <v>-3554</v>
      </c>
      <c r="H26" s="29">
        <f t="shared" si="5"/>
        <v>-4640</v>
      </c>
      <c r="I26" s="20">
        <f t="shared" ref="I26" si="6">SUM(I23:I25)</f>
        <v>156</v>
      </c>
      <c r="J26" s="20">
        <f>SUM(J23:J25)</f>
        <v>-11609</v>
      </c>
      <c r="K26" s="20">
        <f>SUM(K23:K25)</f>
        <v>-4110</v>
      </c>
      <c r="L26" s="20">
        <f>SUM(L23:L25)</f>
        <v>-4941</v>
      </c>
      <c r="M26" s="20">
        <f>SUM(M23:M25)</f>
        <v>-4446</v>
      </c>
    </row>
    <row r="27" spans="1:13" ht="15.6" thickTop="1" x14ac:dyDescent="0.35">
      <c r="A27" s="7"/>
      <c r="B27" s="7" t="s">
        <v>17</v>
      </c>
      <c r="C27" s="15">
        <f t="shared" ref="C27:H27" si="7">+C26+C21+C20+C13</f>
        <v>-222</v>
      </c>
      <c r="D27" s="15">
        <f t="shared" si="7"/>
        <v>-4786</v>
      </c>
      <c r="E27" s="15">
        <f>+E26+E21+E20+E13</f>
        <v>-2706</v>
      </c>
      <c r="F27" s="15">
        <f>+F26+F21+F20+F13</f>
        <v>-668</v>
      </c>
      <c r="G27" s="15">
        <f t="shared" si="7"/>
        <v>-2361</v>
      </c>
      <c r="H27" s="15">
        <f t="shared" si="7"/>
        <v>-3376</v>
      </c>
      <c r="I27" s="15">
        <f>+I26+I21+I20+I13</f>
        <v>1590</v>
      </c>
      <c r="J27" s="15">
        <f>+J26+J21+J20+J13</f>
        <v>-10037</v>
      </c>
      <c r="K27" s="15">
        <v>-2337</v>
      </c>
      <c r="L27" s="15">
        <f>-5366+2337</f>
        <v>-3029</v>
      </c>
      <c r="M27" s="15">
        <f>-7770+2337+3029</f>
        <v>-2404</v>
      </c>
    </row>
    <row r="28" spans="1:13" ht="15" x14ac:dyDescent="0.35">
      <c r="A28" s="7"/>
      <c r="B28" s="7" t="s">
        <v>18</v>
      </c>
      <c r="C28" s="15">
        <v>1034</v>
      </c>
      <c r="D28" s="15">
        <v>-2327</v>
      </c>
      <c r="E28" s="15">
        <v>-1511</v>
      </c>
      <c r="F28" s="21">
        <v>1553</v>
      </c>
      <c r="G28" s="15">
        <v>-1669</v>
      </c>
      <c r="H28" s="15">
        <v>-2451</v>
      </c>
      <c r="I28" s="15">
        <v>2412</v>
      </c>
      <c r="J28" s="15">
        <v>-1002</v>
      </c>
      <c r="K28" s="15">
        <v>-1352</v>
      </c>
      <c r="L28" s="15">
        <v>-54</v>
      </c>
      <c r="M28" s="66">
        <v>-665</v>
      </c>
    </row>
    <row r="29" spans="1:13" ht="15" x14ac:dyDescent="0.35">
      <c r="A29" s="7"/>
      <c r="B29" s="7"/>
      <c r="C29" s="30"/>
      <c r="D29" s="30"/>
      <c r="E29" s="30"/>
      <c r="F29" s="30"/>
      <c r="G29" s="30"/>
      <c r="H29" s="30"/>
      <c r="I29" s="30"/>
      <c r="J29" s="30"/>
      <c r="K29" s="7"/>
      <c r="L29" s="7"/>
      <c r="M29" s="7"/>
    </row>
    <row r="30" spans="1:13" ht="15" x14ac:dyDescent="0.35">
      <c r="A30" s="7"/>
      <c r="B30" s="7" t="s">
        <v>19</v>
      </c>
      <c r="C30" s="15">
        <v>909.06399999999996</v>
      </c>
      <c r="D30" s="15">
        <v>889.52300000000002</v>
      </c>
      <c r="E30" s="15">
        <v>911.44299999999998</v>
      </c>
      <c r="F30" s="15">
        <v>910.63800000000003</v>
      </c>
      <c r="G30" s="15">
        <v>1077.3420000000001</v>
      </c>
      <c r="H30" s="15">
        <v>1091.0550000000001</v>
      </c>
      <c r="I30" s="15">
        <v>1106.923</v>
      </c>
      <c r="J30" s="15">
        <v>1123.2829999999999</v>
      </c>
      <c r="K30" s="15">
        <v>1145.7329999999999</v>
      </c>
      <c r="L30" s="15">
        <v>1278</v>
      </c>
      <c r="M30" s="15">
        <v>2615</v>
      </c>
    </row>
    <row r="31" spans="1:13" ht="15" x14ac:dyDescent="0.35">
      <c r="A31" s="7"/>
      <c r="B31" s="7" t="s">
        <v>20</v>
      </c>
      <c r="C31" s="15">
        <v>909.06399999999996</v>
      </c>
      <c r="D31" s="15">
        <v>889.52300000000002</v>
      </c>
      <c r="E31" s="15">
        <v>911.44299999999998</v>
      </c>
      <c r="F31" s="15">
        <v>910.63800000000003</v>
      </c>
      <c r="G31" s="15">
        <v>1077.3420000000001</v>
      </c>
      <c r="H31" s="15">
        <v>1091.0550000000001</v>
      </c>
      <c r="I31" s="15">
        <v>1404</v>
      </c>
      <c r="J31" s="15">
        <v>1123.2829999999999</v>
      </c>
      <c r="K31" s="15">
        <v>1145.7329999999999</v>
      </c>
      <c r="L31" s="15">
        <v>1278</v>
      </c>
      <c r="M31" s="15">
        <v>2615</v>
      </c>
    </row>
    <row r="32" spans="1:13" ht="15" x14ac:dyDescent="0.35">
      <c r="A32" s="7"/>
      <c r="B32" s="7"/>
      <c r="C32" s="7"/>
      <c r="D32" s="7"/>
      <c r="E32" s="7"/>
      <c r="F32" s="7"/>
      <c r="G32" s="7"/>
      <c r="H32" s="7"/>
      <c r="I32" s="7"/>
      <c r="J32" s="7"/>
      <c r="K32" s="7"/>
      <c r="L32" s="7"/>
      <c r="M32" s="7"/>
    </row>
    <row r="33" spans="1:13" ht="15" x14ac:dyDescent="0.35">
      <c r="A33" s="7"/>
      <c r="B33" s="7" t="s">
        <v>21</v>
      </c>
      <c r="C33" s="23">
        <f>C$26/C30</f>
        <v>-0.91742715584381296</v>
      </c>
      <c r="D33" s="23">
        <f>D$26/D30</f>
        <v>-6.3416010603435771</v>
      </c>
      <c r="E33" s="23">
        <f>E$26/E30</f>
        <v>-3.6930449847110571</v>
      </c>
      <c r="F33" s="23">
        <f t="shared" ref="C33:H34" si="8">F$26/F30</f>
        <v>-2.1358651846287988</v>
      </c>
      <c r="G33" s="23">
        <f t="shared" ref="G33:M33" si="9">G$26/G30</f>
        <v>-3.2988596007581621</v>
      </c>
      <c r="H33" s="23">
        <f t="shared" si="9"/>
        <v>-4.2527645260779705</v>
      </c>
      <c r="I33" s="23">
        <f t="shared" si="9"/>
        <v>0.1409312120174574</v>
      </c>
      <c r="J33" s="23">
        <f t="shared" si="9"/>
        <v>-10.33488444140969</v>
      </c>
      <c r="K33" s="23">
        <f>K$26/K30</f>
        <v>-3.5872232012170375</v>
      </c>
      <c r="L33" s="23">
        <f t="shared" ref="L33" si="10">L$26/L30</f>
        <v>-3.8661971830985915</v>
      </c>
      <c r="M33" s="23">
        <f t="shared" si="9"/>
        <v>-1.70019120458891</v>
      </c>
    </row>
    <row r="34" spans="1:13" ht="15" x14ac:dyDescent="0.35">
      <c r="A34" s="7"/>
      <c r="B34" s="7" t="s">
        <v>22</v>
      </c>
      <c r="C34" s="23">
        <f t="shared" si="8"/>
        <v>-0.91742715584381296</v>
      </c>
      <c r="D34" s="23">
        <f t="shared" si="8"/>
        <v>-6.3416010603435771</v>
      </c>
      <c r="E34" s="23">
        <f t="shared" si="8"/>
        <v>-3.6930449847110571</v>
      </c>
      <c r="F34" s="23">
        <f t="shared" si="8"/>
        <v>-2.1358651846287988</v>
      </c>
      <c r="G34" s="23">
        <f t="shared" si="8"/>
        <v>-3.2988596007581621</v>
      </c>
      <c r="H34" s="23">
        <f t="shared" si="8"/>
        <v>-4.2527645260779705</v>
      </c>
      <c r="I34" s="23">
        <f>I$26/I31</f>
        <v>0.1111111111111111</v>
      </c>
      <c r="J34" s="23">
        <f>J$26/J31</f>
        <v>-10.33488444140969</v>
      </c>
      <c r="K34" s="23">
        <f>K$26/K31</f>
        <v>-3.5872232012170375</v>
      </c>
      <c r="L34" s="23">
        <f>L$26/L31</f>
        <v>-3.8661971830985915</v>
      </c>
      <c r="M34" s="23">
        <f>M$26/M31</f>
        <v>-1.70019120458891</v>
      </c>
    </row>
    <row r="35" spans="1:13" ht="15" x14ac:dyDescent="0.35">
      <c r="A35" s="7"/>
      <c r="B35" s="7"/>
      <c r="C35" s="24"/>
      <c r="D35" s="24"/>
      <c r="E35" s="24"/>
      <c r="F35" s="24"/>
      <c r="G35" s="24"/>
      <c r="H35" s="24"/>
      <c r="I35" s="24"/>
      <c r="J35" s="24"/>
      <c r="K35" s="58"/>
      <c r="L35" s="58"/>
      <c r="M35" s="58"/>
    </row>
    <row r="36" spans="1:13" ht="15" x14ac:dyDescent="0.35">
      <c r="A36" s="7"/>
      <c r="B36" s="7" t="s">
        <v>23</v>
      </c>
      <c r="C36" s="24">
        <v>12050</v>
      </c>
      <c r="D36" s="24">
        <v>11227</v>
      </c>
      <c r="E36" s="24">
        <v>12958</v>
      </c>
      <c r="F36" s="24">
        <f>74857-E36-D36-C36</f>
        <v>38622</v>
      </c>
      <c r="G36" s="24">
        <v>19099</v>
      </c>
      <c r="H36" s="24">
        <v>18936</v>
      </c>
      <c r="I36" s="24">
        <v>23372</v>
      </c>
      <c r="J36" s="24">
        <v>7552</v>
      </c>
      <c r="K36" s="15">
        <v>2990</v>
      </c>
      <c r="L36" s="15">
        <v>4226</v>
      </c>
      <c r="M36" s="15">
        <v>8086</v>
      </c>
    </row>
    <row r="37" spans="1:13" ht="15" x14ac:dyDescent="0.35">
      <c r="A37" s="7"/>
      <c r="B37" s="7" t="s">
        <v>24</v>
      </c>
      <c r="C37" s="24">
        <v>392497</v>
      </c>
      <c r="D37" s="24">
        <v>401756</v>
      </c>
      <c r="E37" s="24">
        <v>412446</v>
      </c>
      <c r="F37" s="24">
        <v>437625</v>
      </c>
      <c r="G37" s="24">
        <v>453905</v>
      </c>
      <c r="H37" s="24">
        <v>469800</v>
      </c>
      <c r="I37" s="24">
        <v>485272</v>
      </c>
      <c r="J37" s="24">
        <v>492542</v>
      </c>
      <c r="K37" s="15">
        <v>495217</v>
      </c>
      <c r="L37" s="15">
        <v>498567</v>
      </c>
      <c r="M37" s="15">
        <v>505989</v>
      </c>
    </row>
    <row r="38" spans="1:13" ht="15" x14ac:dyDescent="0.35">
      <c r="A38" s="7"/>
      <c r="B38" s="7" t="s">
        <v>126</v>
      </c>
      <c r="C38" s="24">
        <v>806919</v>
      </c>
      <c r="D38" s="24">
        <v>825306</v>
      </c>
      <c r="E38" s="24">
        <v>822470</v>
      </c>
      <c r="F38" s="24">
        <v>741190</v>
      </c>
      <c r="G38" s="24">
        <v>766738</v>
      </c>
      <c r="H38" s="24">
        <v>773213</v>
      </c>
      <c r="I38" s="24">
        <v>806961</v>
      </c>
      <c r="J38" s="24">
        <v>794923</v>
      </c>
      <c r="K38" s="24">
        <v>830758</v>
      </c>
      <c r="L38" s="24">
        <v>803176</v>
      </c>
      <c r="M38" s="24">
        <v>797033</v>
      </c>
    </row>
    <row r="39" spans="1:13" ht="15" x14ac:dyDescent="0.35">
      <c r="A39" s="7"/>
      <c r="B39" s="7" t="s">
        <v>139</v>
      </c>
      <c r="C39" s="28">
        <v>2200000</v>
      </c>
      <c r="D39" s="28">
        <v>2200000</v>
      </c>
      <c r="E39" s="28">
        <v>2200000</v>
      </c>
      <c r="F39" s="28">
        <v>3100000</v>
      </c>
      <c r="G39" s="28">
        <v>2900000</v>
      </c>
      <c r="H39" s="28">
        <v>2900000</v>
      </c>
      <c r="I39" s="28">
        <v>2900000</v>
      </c>
      <c r="J39" s="28">
        <v>2900000</v>
      </c>
      <c r="K39" s="28">
        <v>2900000</v>
      </c>
      <c r="L39" s="28">
        <v>1950000</v>
      </c>
      <c r="M39" s="28">
        <v>1891000</v>
      </c>
    </row>
    <row r="40" spans="1:13" ht="15.6" thickBot="1" x14ac:dyDescent="0.4">
      <c r="A40" s="7"/>
      <c r="B40" s="7" t="s">
        <v>125</v>
      </c>
      <c r="C40" s="33">
        <f>C38+C39</f>
        <v>3006919</v>
      </c>
      <c r="D40" s="33">
        <f>D38+D39</f>
        <v>3025306</v>
      </c>
      <c r="E40" s="33">
        <f t="shared" ref="E40:I40" si="11">E38+E39</f>
        <v>3022470</v>
      </c>
      <c r="F40" s="33">
        <f t="shared" si="11"/>
        <v>3841190</v>
      </c>
      <c r="G40" s="33">
        <f t="shared" si="11"/>
        <v>3666738</v>
      </c>
      <c r="H40" s="33">
        <f t="shared" si="11"/>
        <v>3673213</v>
      </c>
      <c r="I40" s="33">
        <f t="shared" si="11"/>
        <v>3706961</v>
      </c>
      <c r="J40" s="33">
        <f>J38+J39</f>
        <v>3694923</v>
      </c>
      <c r="K40" s="59">
        <f>K38+K39</f>
        <v>3730758</v>
      </c>
      <c r="L40" s="59">
        <f>L38+L39</f>
        <v>2753176</v>
      </c>
      <c r="M40" s="59">
        <f>M38+M39</f>
        <v>2688033</v>
      </c>
    </row>
    <row r="41" spans="1:13" ht="15.6" thickTop="1" x14ac:dyDescent="0.35">
      <c r="A41" s="7"/>
      <c r="B41" s="7"/>
      <c r="C41" s="24"/>
      <c r="D41" s="24"/>
      <c r="E41" s="24"/>
      <c r="F41" s="24"/>
      <c r="G41" s="24"/>
      <c r="H41" s="24"/>
      <c r="I41" s="24"/>
      <c r="J41" s="24"/>
      <c r="K41" s="24"/>
      <c r="L41" s="24"/>
      <c r="M41" s="24"/>
    </row>
    <row r="42" spans="1:13" ht="15" x14ac:dyDescent="0.35">
      <c r="A42" s="7"/>
      <c r="B42" s="7" t="s">
        <v>127</v>
      </c>
      <c r="C42" s="24"/>
      <c r="D42" s="24"/>
      <c r="E42" s="24"/>
      <c r="F42" s="24"/>
      <c r="G42" s="24"/>
      <c r="H42" s="24"/>
      <c r="I42" s="24"/>
      <c r="J42" s="24">
        <v>88995</v>
      </c>
      <c r="K42" s="24">
        <v>87733</v>
      </c>
      <c r="L42" s="24">
        <v>84776</v>
      </c>
      <c r="M42" s="24">
        <v>90454</v>
      </c>
    </row>
    <row r="43" spans="1:13" ht="15" x14ac:dyDescent="0.35">
      <c r="A43" s="7"/>
      <c r="B43" s="7"/>
      <c r="C43" s="24"/>
      <c r="D43" s="24"/>
      <c r="E43" s="24"/>
      <c r="F43" s="24"/>
      <c r="G43" s="24"/>
      <c r="H43" s="24"/>
      <c r="I43" s="24"/>
      <c r="J43" s="24"/>
      <c r="K43" s="24"/>
      <c r="L43" s="24"/>
      <c r="M43" s="24"/>
    </row>
    <row r="44" spans="1:13" ht="15" x14ac:dyDescent="0.35">
      <c r="A44" s="7"/>
      <c r="B44" s="7" t="s">
        <v>25</v>
      </c>
      <c r="C44" s="7"/>
      <c r="D44" s="7"/>
      <c r="E44" s="7"/>
      <c r="F44" s="7"/>
      <c r="G44" s="7"/>
      <c r="H44" s="7"/>
      <c r="I44" s="7"/>
      <c r="J44" s="7"/>
      <c r="K44" s="7"/>
      <c r="L44" s="7"/>
      <c r="M44" s="7"/>
    </row>
    <row r="45" spans="1:13" ht="15" x14ac:dyDescent="0.35">
      <c r="A45" s="7"/>
      <c r="B45" s="7" t="s">
        <v>128</v>
      </c>
      <c r="C45" s="7"/>
      <c r="D45" s="7"/>
      <c r="E45" s="7"/>
      <c r="F45" s="7"/>
      <c r="G45" s="7"/>
      <c r="H45" s="7"/>
      <c r="I45" s="7"/>
      <c r="J45" s="7"/>
      <c r="K45" s="7"/>
      <c r="L45" s="7"/>
      <c r="M45" s="7"/>
    </row>
    <row r="46" spans="1:13" ht="15" x14ac:dyDescent="0.35">
      <c r="A46" s="7"/>
      <c r="B46" s="7"/>
      <c r="C46" s="7"/>
      <c r="D46" s="7"/>
      <c r="E46" s="7"/>
      <c r="F46" s="7"/>
      <c r="G46" s="7"/>
      <c r="H46" s="7"/>
      <c r="I46" s="7"/>
      <c r="J46" s="7"/>
      <c r="K46" s="7"/>
      <c r="L46" s="7"/>
      <c r="M46" s="7"/>
    </row>
    <row r="47" spans="1:13" ht="15" x14ac:dyDescent="0.35">
      <c r="A47" s="7"/>
      <c r="B47" s="7"/>
      <c r="C47" s="7"/>
      <c r="D47" s="7"/>
      <c r="E47" s="7"/>
      <c r="F47" s="7"/>
      <c r="G47" s="7"/>
      <c r="H47" s="7"/>
      <c r="I47" s="31"/>
      <c r="J47" s="31"/>
      <c r="K47" s="31"/>
      <c r="L47" s="31"/>
      <c r="M47" s="31"/>
    </row>
    <row r="61" spans="3:13" x14ac:dyDescent="0.3">
      <c r="C61" s="2"/>
      <c r="D61" s="2"/>
      <c r="E61" s="2"/>
      <c r="F61" s="2"/>
      <c r="G61" s="2"/>
      <c r="H61" s="2"/>
      <c r="I61" s="2"/>
      <c r="J61" s="2"/>
      <c r="K61" s="2"/>
      <c r="L61" s="2"/>
      <c r="M61" s="2"/>
    </row>
  </sheetData>
  <conditionalFormatting sqref="B5:J7 B10:J15 B23:D23 B24:J28 B30:J31 B33:J43">
    <cfRule type="expression" dxfId="29" priority="26" stopIfTrue="1">
      <formula>MOD(ROW(),2)=0</formula>
    </cfRule>
  </conditionalFormatting>
  <conditionalFormatting sqref="B17:J22">
    <cfRule type="expression" dxfId="28" priority="2" stopIfTrue="1">
      <formula>MOD(ROW(),2)=0</formula>
    </cfRule>
  </conditionalFormatting>
  <conditionalFormatting sqref="E23:J23">
    <cfRule type="expression" dxfId="27" priority="3">
      <formula>MOD(ROW(),2)=0</formula>
    </cfRule>
  </conditionalFormatting>
  <conditionalFormatting sqref="K5:M7">
    <cfRule type="expression" dxfId="26" priority="12">
      <formula>MOD(ROW(),2)=0</formula>
    </cfRule>
  </conditionalFormatting>
  <conditionalFormatting sqref="K10:M15">
    <cfRule type="expression" dxfId="25" priority="11">
      <formula>MOD(ROW(),2)=0</formula>
    </cfRule>
  </conditionalFormatting>
  <conditionalFormatting sqref="K17:M28">
    <cfRule type="expression" dxfId="24" priority="1">
      <formula>MOD(ROW(),2)=0</formula>
    </cfRule>
  </conditionalFormatting>
  <conditionalFormatting sqref="K30:M31 K36:M37">
    <cfRule type="expression" dxfId="23" priority="13">
      <formula>MOD(ROW(),2)=0</formula>
    </cfRule>
  </conditionalFormatting>
  <conditionalFormatting sqref="K33:M34">
    <cfRule type="expression" dxfId="22" priority="10">
      <formula>MOD(ROW(),2)=0</formula>
    </cfRule>
  </conditionalFormatting>
  <conditionalFormatting sqref="K35:M35">
    <cfRule type="expression" dxfId="21" priority="15" stopIfTrue="1">
      <formula>MOD(ROW(),2)=0</formula>
    </cfRule>
  </conditionalFormatting>
  <conditionalFormatting sqref="K38:M43">
    <cfRule type="expression" dxfId="20" priority="14" stopIfTrue="1">
      <formula>MOD(ROW(),2)=0</formula>
    </cfRule>
  </conditionalFormatting>
  <pageMargins left="0.7" right="0.7" top="0.75" bottom="0.75" header="0.3" footer="0.3"/>
  <pageSetup scale="6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45B0-27C2-BC40-ADC7-B0811ECDC100}">
  <sheetPr>
    <tabColor rgb="FF4AAFA0"/>
    <pageSetUpPr fitToPage="1"/>
  </sheetPr>
  <dimension ref="A1"/>
  <sheetViews>
    <sheetView showGridLines="0" view="pageBreakPreview" zoomScaleNormal="100" zoomScaleSheetLayoutView="100" workbookViewId="0">
      <selection activeCell="S37" sqref="S37"/>
    </sheetView>
  </sheetViews>
  <sheetFormatPr defaultColWidth="11.44140625" defaultRowHeight="14.4" x14ac:dyDescent="0.3"/>
  <sheetData/>
  <pageMargins left="0.7" right="0.7" top="0.75" bottom="0.75" header="0.3" footer="0.3"/>
  <pageSetup scale="7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997A-92A3-8C47-814A-569CB5B705D8}">
  <sheetPr>
    <tabColor rgb="FF4AAFA0"/>
    <pageSetUpPr fitToPage="1"/>
  </sheetPr>
  <dimension ref="A2:P33"/>
  <sheetViews>
    <sheetView showGridLines="0" view="pageBreakPreview" zoomScaleNormal="100" zoomScaleSheetLayoutView="100" workbookViewId="0">
      <pane xSplit="6" ySplit="4" topLeftCell="O13" activePane="bottomRight" state="frozen"/>
      <selection activeCell="S37" sqref="S37"/>
      <selection pane="topRight" activeCell="S37" sqref="S37"/>
      <selection pane="bottomLeft" activeCell="S37" sqref="S37"/>
      <selection pane="bottomRight" activeCell="S37" sqref="S37"/>
    </sheetView>
  </sheetViews>
  <sheetFormatPr defaultColWidth="11.44140625" defaultRowHeight="14.4" outlineLevelCol="1" x14ac:dyDescent="0.3"/>
  <cols>
    <col min="1" max="1" width="36.6640625" bestFit="1" customWidth="1"/>
    <col min="2" max="2" width="17.44140625" customWidth="1" outlineLevel="1"/>
    <col min="3" max="3" width="18" customWidth="1" outlineLevel="1"/>
    <col min="4" max="4" width="17.44140625" customWidth="1" outlineLevel="1"/>
    <col min="5" max="6" width="18" customWidth="1" outlineLevel="1"/>
    <col min="7" max="7" width="18" customWidth="1"/>
    <col min="8" max="8" width="19.109375" customWidth="1"/>
    <col min="9" max="10" width="18" customWidth="1"/>
    <col min="11" max="11" width="18" bestFit="1" customWidth="1"/>
    <col min="12" max="13" width="18" customWidth="1"/>
    <col min="14" max="16" width="19.109375" bestFit="1" customWidth="1"/>
  </cols>
  <sheetData>
    <row r="2" spans="1:16" ht="15" x14ac:dyDescent="0.35">
      <c r="A2" s="7"/>
      <c r="B2" s="7"/>
      <c r="C2" s="7"/>
      <c r="D2" s="7"/>
      <c r="E2" s="7"/>
      <c r="F2" s="7"/>
      <c r="G2" s="7"/>
      <c r="H2" s="7"/>
      <c r="I2" s="7"/>
      <c r="J2" s="7"/>
      <c r="K2" s="7"/>
      <c r="L2" s="7"/>
      <c r="M2" s="7"/>
      <c r="N2" s="7"/>
      <c r="O2" s="7"/>
      <c r="P2" s="7"/>
    </row>
    <row r="3" spans="1:16" ht="15" x14ac:dyDescent="0.35">
      <c r="A3" s="7"/>
      <c r="B3" s="7"/>
      <c r="C3" s="7"/>
      <c r="D3" s="7"/>
      <c r="E3" s="7"/>
      <c r="F3" s="7"/>
      <c r="G3" s="7"/>
      <c r="H3" s="7"/>
      <c r="I3" s="7"/>
      <c r="J3" s="7"/>
      <c r="K3" s="7"/>
      <c r="L3" s="7"/>
      <c r="M3" s="7"/>
      <c r="N3" s="7"/>
      <c r="O3" s="7"/>
      <c r="P3" s="7"/>
    </row>
    <row r="4" spans="1:16" ht="16.2" x14ac:dyDescent="0.35">
      <c r="A4" s="7"/>
      <c r="B4" s="9" t="s">
        <v>35</v>
      </c>
      <c r="C4" s="9" t="s">
        <v>36</v>
      </c>
      <c r="D4" s="9" t="s">
        <v>37</v>
      </c>
      <c r="E4" s="9" t="s">
        <v>38</v>
      </c>
      <c r="F4" s="9" t="s">
        <v>146</v>
      </c>
      <c r="G4" s="9" t="s">
        <v>147</v>
      </c>
      <c r="H4" s="9" t="s">
        <v>39</v>
      </c>
      <c r="I4" s="9" t="s">
        <v>40</v>
      </c>
      <c r="J4" s="9" t="s">
        <v>41</v>
      </c>
      <c r="K4" s="9" t="s">
        <v>42</v>
      </c>
      <c r="L4" s="9" t="s">
        <v>43</v>
      </c>
      <c r="M4" s="9" t="s">
        <v>133</v>
      </c>
      <c r="N4" s="9" t="s">
        <v>141</v>
      </c>
      <c r="O4" s="9" t="s">
        <v>150</v>
      </c>
      <c r="P4" s="9" t="s">
        <v>152</v>
      </c>
    </row>
    <row r="5" spans="1:16" ht="15" x14ac:dyDescent="0.35">
      <c r="A5" s="7" t="s">
        <v>44</v>
      </c>
      <c r="B5" s="7"/>
      <c r="C5" s="7"/>
      <c r="D5" s="7"/>
      <c r="E5" s="7"/>
      <c r="F5" s="7"/>
      <c r="G5" s="7"/>
      <c r="H5" s="7"/>
      <c r="I5" s="7"/>
      <c r="J5" s="7"/>
      <c r="K5" s="7"/>
      <c r="L5" s="7"/>
      <c r="M5" s="7"/>
      <c r="N5" s="7"/>
      <c r="O5" s="7"/>
      <c r="P5" s="7"/>
    </row>
    <row r="6" spans="1:16" ht="15" x14ac:dyDescent="0.35">
      <c r="A6" s="7" t="s">
        <v>45</v>
      </c>
      <c r="B6" s="7"/>
      <c r="C6" s="7"/>
      <c r="D6" s="32"/>
      <c r="E6" s="7"/>
      <c r="F6" s="7"/>
      <c r="G6" s="7"/>
      <c r="H6" s="7"/>
      <c r="I6" s="7"/>
      <c r="J6" s="7"/>
      <c r="K6" s="7"/>
      <c r="L6" s="7"/>
      <c r="M6" s="7"/>
      <c r="N6" s="7"/>
      <c r="O6" s="7"/>
      <c r="P6" s="7"/>
    </row>
    <row r="7" spans="1:16" ht="15" x14ac:dyDescent="0.35">
      <c r="A7" s="7" t="s">
        <v>46</v>
      </c>
      <c r="B7" s="15">
        <v>3692.8380000000002</v>
      </c>
      <c r="C7" s="15">
        <v>1878.94</v>
      </c>
      <c r="D7" s="15">
        <v>2006.047</v>
      </c>
      <c r="E7" s="15">
        <v>1944</v>
      </c>
      <c r="F7" s="15">
        <v>4458</v>
      </c>
      <c r="G7" s="15">
        <v>3665</v>
      </c>
      <c r="H7" s="15">
        <v>3474</v>
      </c>
      <c r="I7" s="15">
        <v>3509</v>
      </c>
      <c r="J7" s="15">
        <v>3278</v>
      </c>
      <c r="K7" s="15">
        <v>3093</v>
      </c>
      <c r="L7" s="15">
        <v>3050</v>
      </c>
      <c r="M7" s="15">
        <v>4348</v>
      </c>
      <c r="N7" s="15">
        <f>845+2518</f>
        <v>3363</v>
      </c>
      <c r="O7" s="15">
        <f>586+2559</f>
        <v>3145</v>
      </c>
      <c r="P7" s="15">
        <f>10886+2252</f>
        <v>13138</v>
      </c>
    </row>
    <row r="8" spans="1:16" ht="15" x14ac:dyDescent="0.35">
      <c r="A8" s="7" t="s">
        <v>47</v>
      </c>
      <c r="B8" s="15">
        <v>3105.377</v>
      </c>
      <c r="C8" s="15">
        <v>3283.6060000000002</v>
      </c>
      <c r="D8" s="15">
        <v>125.628</v>
      </c>
      <c r="E8" s="15">
        <v>2133</v>
      </c>
      <c r="F8" s="15">
        <v>21493</v>
      </c>
      <c r="G8" s="15">
        <v>21453</v>
      </c>
      <c r="H8" s="15">
        <v>21425</v>
      </c>
      <c r="I8" s="15">
        <v>21571</v>
      </c>
      <c r="J8" s="15">
        <v>21749</v>
      </c>
      <c r="K8" s="15">
        <v>21733</v>
      </c>
      <c r="L8" s="15">
        <v>21644</v>
      </c>
      <c r="M8" s="15">
        <v>21782</v>
      </c>
      <c r="N8" s="15">
        <v>21776</v>
      </c>
      <c r="O8" s="15">
        <v>21978</v>
      </c>
      <c r="P8" s="15">
        <v>22050</v>
      </c>
    </row>
    <row r="9" spans="1:16" ht="15" x14ac:dyDescent="0.35">
      <c r="A9" s="7" t="s">
        <v>154</v>
      </c>
      <c r="B9" s="15">
        <v>0</v>
      </c>
      <c r="C9" s="15">
        <v>0</v>
      </c>
      <c r="D9" s="15">
        <v>0</v>
      </c>
      <c r="E9" s="15">
        <v>0</v>
      </c>
      <c r="F9" s="15">
        <v>0</v>
      </c>
      <c r="G9" s="15">
        <v>0</v>
      </c>
      <c r="H9" s="15">
        <v>0</v>
      </c>
      <c r="I9" s="15">
        <v>0</v>
      </c>
      <c r="J9" s="15">
        <v>0</v>
      </c>
      <c r="K9" s="15">
        <v>0</v>
      </c>
      <c r="L9" s="15">
        <v>0</v>
      </c>
      <c r="M9" s="15">
        <v>0</v>
      </c>
      <c r="N9" s="15">
        <v>0</v>
      </c>
      <c r="O9" s="15">
        <v>0</v>
      </c>
      <c r="P9" s="15">
        <v>9965</v>
      </c>
    </row>
    <row r="10" spans="1:16" ht="15" x14ac:dyDescent="0.35">
      <c r="A10" s="7" t="s">
        <v>48</v>
      </c>
      <c r="B10" s="15">
        <v>10956.449000000001</v>
      </c>
      <c r="C10" s="15">
        <v>9228.1029999999992</v>
      </c>
      <c r="D10" s="15">
        <v>19565.361000000001</v>
      </c>
      <c r="E10" s="15">
        <v>31526</v>
      </c>
      <c r="F10" s="15">
        <v>47031</v>
      </c>
      <c r="G10" s="15">
        <v>50796</v>
      </c>
      <c r="H10" s="15">
        <v>46298</v>
      </c>
      <c r="I10" s="15">
        <v>49631</v>
      </c>
      <c r="J10" s="15">
        <v>46663</v>
      </c>
      <c r="K10" s="15">
        <v>40144</v>
      </c>
      <c r="L10" s="15">
        <v>39606</v>
      </c>
      <c r="M10" s="15">
        <v>30947</v>
      </c>
      <c r="N10" s="15">
        <v>30586</v>
      </c>
      <c r="O10" s="15">
        <v>28356</v>
      </c>
      <c r="P10" s="15">
        <f>2605+8725+11928+3768+2921</f>
        <v>29947</v>
      </c>
    </row>
    <row r="11" spans="1:16" ht="15" x14ac:dyDescent="0.35">
      <c r="A11" s="7" t="s">
        <v>49</v>
      </c>
      <c r="B11" s="27">
        <v>17754.664000000001</v>
      </c>
      <c r="C11" s="27">
        <v>14390.648999999999</v>
      </c>
      <c r="D11" s="27">
        <v>21697.036</v>
      </c>
      <c r="E11" s="27">
        <v>35603</v>
      </c>
      <c r="F11" s="27">
        <v>72982</v>
      </c>
      <c r="G11" s="27">
        <v>75914</v>
      </c>
      <c r="H11" s="27">
        <v>71197</v>
      </c>
      <c r="I11" s="27">
        <v>74711</v>
      </c>
      <c r="J11" s="27">
        <v>71690</v>
      </c>
      <c r="K11" s="27">
        <v>64970</v>
      </c>
      <c r="L11" s="27">
        <v>64300</v>
      </c>
      <c r="M11" s="27">
        <f>SUM(M7:M10)</f>
        <v>57077</v>
      </c>
      <c r="N11" s="27">
        <f>SUM(N7:N10)</f>
        <v>55725</v>
      </c>
      <c r="O11" s="27">
        <f>SUM(O7:O10)</f>
        <v>53479</v>
      </c>
      <c r="P11" s="27">
        <f>SUM(P7:P10)</f>
        <v>75100</v>
      </c>
    </row>
    <row r="12" spans="1:16" ht="15" x14ac:dyDescent="0.35">
      <c r="A12" s="7"/>
      <c r="B12" s="15"/>
      <c r="C12" s="15"/>
      <c r="D12" s="15"/>
      <c r="E12" s="15"/>
      <c r="F12" s="15"/>
      <c r="G12" s="15"/>
      <c r="H12" s="15"/>
      <c r="I12" s="15"/>
      <c r="J12" s="15"/>
      <c r="K12" s="15"/>
      <c r="L12" s="15"/>
      <c r="M12" s="15"/>
      <c r="N12" s="15"/>
      <c r="O12" s="15"/>
      <c r="P12" s="15"/>
    </row>
    <row r="13" spans="1:16" ht="15" x14ac:dyDescent="0.35">
      <c r="A13" s="7" t="s">
        <v>50</v>
      </c>
      <c r="B13" s="24"/>
      <c r="C13" s="24"/>
      <c r="D13" s="24"/>
      <c r="E13" s="24"/>
      <c r="F13" s="24"/>
      <c r="G13" s="24"/>
      <c r="H13" s="24"/>
      <c r="I13" s="24"/>
      <c r="J13" s="24"/>
      <c r="K13" s="24"/>
      <c r="L13" s="24"/>
      <c r="M13" s="24"/>
      <c r="N13" s="24"/>
      <c r="O13" s="24"/>
      <c r="P13" s="24"/>
    </row>
    <row r="14" spans="1:16" ht="15" x14ac:dyDescent="0.35">
      <c r="A14" s="7" t="s">
        <v>51</v>
      </c>
      <c r="B14" s="15">
        <v>11785.144</v>
      </c>
      <c r="C14" s="15">
        <v>9469.1440000000002</v>
      </c>
      <c r="D14" s="15">
        <v>7664.5910000000003</v>
      </c>
      <c r="E14" s="15">
        <v>15018</v>
      </c>
      <c r="F14" s="15">
        <v>51321</v>
      </c>
      <c r="G14" s="15">
        <v>54964</v>
      </c>
      <c r="H14" s="15">
        <v>54254</v>
      </c>
      <c r="I14" s="15">
        <v>53799</v>
      </c>
      <c r="J14" s="15">
        <v>52952</v>
      </c>
      <c r="K14" s="15">
        <v>50169</v>
      </c>
      <c r="L14" s="15">
        <v>49673</v>
      </c>
      <c r="M14" s="15">
        <v>50450</v>
      </c>
      <c r="N14" s="15">
        <v>51555</v>
      </c>
      <c r="O14" s="15">
        <v>50442</v>
      </c>
      <c r="P14" s="15">
        <v>48678</v>
      </c>
    </row>
    <row r="15" spans="1:16" ht="15" x14ac:dyDescent="0.35">
      <c r="A15" s="7" t="s">
        <v>52</v>
      </c>
      <c r="B15" s="15">
        <v>18201.507000000001</v>
      </c>
      <c r="C15" s="15">
        <v>17832.526000000002</v>
      </c>
      <c r="D15" s="15">
        <v>20320.612999999998</v>
      </c>
      <c r="E15" s="15">
        <v>20624</v>
      </c>
      <c r="F15" s="15">
        <v>21802</v>
      </c>
      <c r="G15" s="15">
        <v>9955</v>
      </c>
      <c r="H15" s="15">
        <v>8899</v>
      </c>
      <c r="I15" s="15">
        <v>14256</v>
      </c>
      <c r="J15" s="15">
        <v>15164</v>
      </c>
      <c r="K15" s="15">
        <v>15174</v>
      </c>
      <c r="L15" s="15">
        <v>14102</v>
      </c>
      <c r="M15" s="15">
        <v>15071</v>
      </c>
      <c r="N15" s="15">
        <v>15534</v>
      </c>
      <c r="O15" s="15">
        <f>66820-O14</f>
        <v>16378</v>
      </c>
      <c r="P15" s="15">
        <f>66192-P14</f>
        <v>17514</v>
      </c>
    </row>
    <row r="16" spans="1:16" ht="15" x14ac:dyDescent="0.35">
      <c r="A16" s="7" t="s">
        <v>53</v>
      </c>
      <c r="B16" s="27">
        <v>29986.651000000002</v>
      </c>
      <c r="C16" s="27">
        <v>27301.670000000002</v>
      </c>
      <c r="D16" s="27">
        <v>27985.203999999998</v>
      </c>
      <c r="E16" s="27">
        <v>35642</v>
      </c>
      <c r="F16" s="27">
        <v>73123</v>
      </c>
      <c r="G16" s="27">
        <v>64919</v>
      </c>
      <c r="H16" s="27">
        <v>63153</v>
      </c>
      <c r="I16" s="27">
        <v>68055</v>
      </c>
      <c r="J16" s="27">
        <v>68116</v>
      </c>
      <c r="K16" s="27">
        <v>65343</v>
      </c>
      <c r="L16" s="27">
        <v>63775</v>
      </c>
      <c r="M16" s="27">
        <f>SUM(M14:M15)</f>
        <v>65521</v>
      </c>
      <c r="N16" s="27">
        <f>SUM(N14:N15)</f>
        <v>67089</v>
      </c>
      <c r="O16" s="27">
        <f>SUM(O14:O15)</f>
        <v>66820</v>
      </c>
      <c r="P16" s="27">
        <f>SUM(P14:P15)</f>
        <v>66192</v>
      </c>
    </row>
    <row r="17" spans="1:16" ht="15" x14ac:dyDescent="0.35">
      <c r="A17" s="7"/>
      <c r="B17" s="24"/>
      <c r="C17" s="24"/>
      <c r="D17" s="24"/>
      <c r="E17" s="24"/>
      <c r="F17" s="24"/>
      <c r="G17" s="24"/>
      <c r="H17" s="24"/>
      <c r="I17" s="24"/>
      <c r="J17" s="24"/>
      <c r="K17" s="24"/>
      <c r="L17" s="24"/>
      <c r="M17" s="24"/>
      <c r="N17" s="24"/>
      <c r="O17" s="24"/>
      <c r="P17" s="24"/>
    </row>
    <row r="18" spans="1:16" ht="15" x14ac:dyDescent="0.35">
      <c r="A18" s="7" t="s">
        <v>54</v>
      </c>
      <c r="B18" s="15"/>
      <c r="C18" s="15"/>
      <c r="D18" s="15"/>
      <c r="E18" s="15"/>
      <c r="F18" s="15"/>
      <c r="G18" s="15"/>
      <c r="H18" s="15"/>
      <c r="I18" s="15"/>
      <c r="J18" s="15"/>
      <c r="K18" s="15"/>
      <c r="L18" s="15"/>
      <c r="M18" s="15"/>
      <c r="N18" s="15"/>
      <c r="O18" s="15"/>
      <c r="P18" s="15"/>
    </row>
    <row r="19" spans="1:16" ht="15" x14ac:dyDescent="0.35">
      <c r="A19" s="7" t="s">
        <v>55</v>
      </c>
      <c r="B19" s="28">
        <v>-12231.986999999997</v>
      </c>
      <c r="C19" s="28">
        <v>-12911.021000000001</v>
      </c>
      <c r="D19" s="28">
        <v>-6288.1680000000015</v>
      </c>
      <c r="E19" s="28">
        <v>-39</v>
      </c>
      <c r="F19" s="28">
        <v>-141</v>
      </c>
      <c r="G19" s="28">
        <v>10995</v>
      </c>
      <c r="H19" s="28">
        <v>8044</v>
      </c>
      <c r="I19" s="28">
        <v>6656</v>
      </c>
      <c r="J19" s="28">
        <v>3574</v>
      </c>
      <c r="K19" s="28">
        <v>-373</v>
      </c>
      <c r="L19" s="28">
        <v>525</v>
      </c>
      <c r="M19" s="28">
        <v>-8444</v>
      </c>
      <c r="N19" s="28">
        <v>-11364</v>
      </c>
      <c r="O19" s="28">
        <v>-13341</v>
      </c>
      <c r="P19" s="28">
        <v>8908</v>
      </c>
    </row>
    <row r="20" spans="1:16" ht="15.6" thickBot="1" x14ac:dyDescent="0.4">
      <c r="A20" s="7" t="s">
        <v>56</v>
      </c>
      <c r="B20" s="33">
        <v>17754.664000000004</v>
      </c>
      <c r="C20" s="33">
        <v>14390.649000000001</v>
      </c>
      <c r="D20" s="33">
        <v>21697.035999999996</v>
      </c>
      <c r="E20" s="33">
        <v>35603</v>
      </c>
      <c r="F20" s="33">
        <v>72982</v>
      </c>
      <c r="G20" s="33">
        <v>75914</v>
      </c>
      <c r="H20" s="33">
        <v>71197</v>
      </c>
      <c r="I20" s="33">
        <v>74711</v>
      </c>
      <c r="J20" s="33">
        <v>71690</v>
      </c>
      <c r="K20" s="33">
        <v>64970</v>
      </c>
      <c r="L20" s="33">
        <v>64300</v>
      </c>
      <c r="M20" s="33">
        <f>M16+M19</f>
        <v>57077</v>
      </c>
      <c r="N20" s="33">
        <f>N16+N19</f>
        <v>55725</v>
      </c>
      <c r="O20" s="33">
        <f>O16+O19</f>
        <v>53479</v>
      </c>
      <c r="P20" s="33">
        <f>P16+P19</f>
        <v>75100</v>
      </c>
    </row>
    <row r="21" spans="1:16" ht="15.6" thickTop="1" x14ac:dyDescent="0.35">
      <c r="A21" s="7"/>
      <c r="B21" s="7"/>
      <c r="C21" s="7"/>
      <c r="D21" s="7"/>
      <c r="E21" s="7"/>
      <c r="F21" s="7"/>
      <c r="G21" s="7"/>
      <c r="H21" s="7"/>
      <c r="I21" s="7"/>
      <c r="J21" s="7"/>
      <c r="K21" s="7"/>
      <c r="L21" s="7"/>
      <c r="M21" s="7"/>
      <c r="N21" s="7"/>
      <c r="O21" s="7"/>
      <c r="P21" s="7"/>
    </row>
    <row r="22" spans="1:16" ht="15" x14ac:dyDescent="0.35">
      <c r="A22" s="7"/>
      <c r="B22" s="7"/>
      <c r="C22" s="7"/>
      <c r="D22" s="7"/>
      <c r="E22" s="7"/>
      <c r="F22" s="7"/>
      <c r="G22" s="7"/>
      <c r="H22" s="7"/>
      <c r="I22" s="7"/>
      <c r="J22" s="7"/>
      <c r="K22" s="7"/>
      <c r="L22" s="7"/>
      <c r="M22" s="7"/>
      <c r="N22" s="7"/>
      <c r="O22" s="7"/>
      <c r="P22" s="7"/>
    </row>
    <row r="23" spans="1:16" ht="15" x14ac:dyDescent="0.35">
      <c r="A23" s="7" t="s">
        <v>57</v>
      </c>
      <c r="B23" s="32">
        <f t="shared" ref="B23:K23" si="0">B16/B19</f>
        <v>-2.4514946753949305</v>
      </c>
      <c r="C23" s="32">
        <f t="shared" si="0"/>
        <v>-2.1146019358190187</v>
      </c>
      <c r="D23" s="32">
        <f t="shared" si="0"/>
        <v>-4.4504542499500639</v>
      </c>
      <c r="E23" s="32">
        <f t="shared" si="0"/>
        <v>-913.89743589743591</v>
      </c>
      <c r="F23" s="32">
        <f t="shared" si="0"/>
        <v>-518.60283687943263</v>
      </c>
      <c r="G23" s="32">
        <f t="shared" si="0"/>
        <v>5.9044110959527059</v>
      </c>
      <c r="H23" s="32">
        <f t="shared" si="0"/>
        <v>7.8509448035803082</v>
      </c>
      <c r="I23" s="32">
        <f t="shared" si="0"/>
        <v>10.224609375</v>
      </c>
      <c r="J23" s="32">
        <f t="shared" si="0"/>
        <v>19.058757694459988</v>
      </c>
      <c r="K23" s="32">
        <f t="shared" si="0"/>
        <v>-175.1823056300268</v>
      </c>
      <c r="L23" s="32">
        <f t="shared" ref="L23" si="1">L16/L19</f>
        <v>121.47619047619048</v>
      </c>
      <c r="M23" s="32">
        <f>M16/M19</f>
        <v>-7.7594741828517293</v>
      </c>
      <c r="N23" s="32">
        <f>N16/N19</f>
        <v>-5.9036430834213309</v>
      </c>
      <c r="O23" s="32">
        <f>O16/O19</f>
        <v>-5.0086200434750019</v>
      </c>
      <c r="P23" s="32">
        <f>P16/P19</f>
        <v>7.4306241580601711</v>
      </c>
    </row>
    <row r="24" spans="1:16" ht="15" x14ac:dyDescent="0.35">
      <c r="A24" s="7" t="s">
        <v>58</v>
      </c>
      <c r="B24" s="34">
        <f t="shared" ref="B24:K24" si="2">B16/B11</f>
        <v>1.6889450005925204</v>
      </c>
      <c r="C24" s="34">
        <f t="shared" si="2"/>
        <v>1.8971812876542262</v>
      </c>
      <c r="D24" s="34">
        <f t="shared" si="2"/>
        <v>1.2898169132410526</v>
      </c>
      <c r="E24" s="34">
        <f t="shared" si="2"/>
        <v>1.0010954133078673</v>
      </c>
      <c r="F24" s="34">
        <f t="shared" si="2"/>
        <v>1.0019319832287414</v>
      </c>
      <c r="G24" s="34">
        <f t="shared" si="2"/>
        <v>0.85516505519403541</v>
      </c>
      <c r="H24" s="34">
        <f t="shared" si="2"/>
        <v>0.88701771142042507</v>
      </c>
      <c r="I24" s="34">
        <f t="shared" si="2"/>
        <v>0.9109100400208805</v>
      </c>
      <c r="J24" s="34">
        <f t="shared" si="2"/>
        <v>0.95014646394197233</v>
      </c>
      <c r="K24" s="34">
        <f t="shared" si="2"/>
        <v>1.0057411112821302</v>
      </c>
      <c r="L24" s="34">
        <f t="shared" ref="L24" si="3">L16/L11</f>
        <v>0.99183514774494552</v>
      </c>
      <c r="M24" s="34">
        <f>M16/M11</f>
        <v>1.1479405014278956</v>
      </c>
      <c r="N24" s="34">
        <f>N16/N11</f>
        <v>1.2039300134589501</v>
      </c>
      <c r="O24" s="34">
        <f>O16/O11</f>
        <v>1.2494624058041475</v>
      </c>
      <c r="P24" s="34">
        <f>P16/P11</f>
        <v>0.88138482023968046</v>
      </c>
    </row>
    <row r="25" spans="1:16" ht="15" x14ac:dyDescent="0.35">
      <c r="A25" s="7"/>
      <c r="B25" s="7"/>
      <c r="C25" s="7"/>
      <c r="D25" s="7"/>
      <c r="E25" s="7"/>
      <c r="F25" s="7"/>
      <c r="G25" s="7"/>
      <c r="H25" s="7"/>
      <c r="I25" s="7"/>
      <c r="J25" s="7"/>
      <c r="K25" s="7"/>
      <c r="L25" s="7"/>
      <c r="M25" s="7"/>
      <c r="N25" s="7"/>
      <c r="O25" s="7"/>
      <c r="P25" s="7"/>
    </row>
    <row r="26" spans="1:16" ht="15" x14ac:dyDescent="0.35">
      <c r="A26" s="7" t="s">
        <v>25</v>
      </c>
      <c r="B26" s="7"/>
      <c r="C26" s="7"/>
      <c r="D26" s="7"/>
      <c r="E26" s="7"/>
      <c r="F26" s="7"/>
      <c r="G26" s="7"/>
      <c r="H26" s="7"/>
      <c r="I26" s="7"/>
      <c r="J26" s="7"/>
      <c r="K26" s="7"/>
      <c r="L26" s="7"/>
      <c r="M26" s="7"/>
      <c r="N26" s="7"/>
      <c r="O26" s="7"/>
      <c r="P26" s="7"/>
    </row>
    <row r="27" spans="1:16" ht="15" customHeight="1" x14ac:dyDescent="0.3">
      <c r="A27" s="72" t="s">
        <v>122</v>
      </c>
      <c r="B27" s="72"/>
      <c r="C27" s="72"/>
      <c r="D27" s="72"/>
      <c r="E27" s="72"/>
      <c r="F27" s="72"/>
      <c r="G27" s="72"/>
      <c r="H27" s="72"/>
      <c r="I27" s="72"/>
      <c r="J27" s="72"/>
      <c r="K27" s="72"/>
      <c r="L27" s="72"/>
      <c r="M27" s="72"/>
      <c r="N27" s="72"/>
      <c r="O27" s="72"/>
      <c r="P27" s="72"/>
    </row>
    <row r="28" spans="1:16" x14ac:dyDescent="0.3">
      <c r="A28" s="72"/>
      <c r="B28" s="72"/>
      <c r="C28" s="72"/>
      <c r="D28" s="72"/>
      <c r="E28" s="72"/>
      <c r="F28" s="72"/>
      <c r="G28" s="72"/>
      <c r="H28" s="72"/>
      <c r="I28" s="72"/>
      <c r="J28" s="72"/>
      <c r="K28" s="72"/>
      <c r="L28" s="72"/>
      <c r="M28" s="72"/>
      <c r="N28" s="72"/>
      <c r="O28" s="72"/>
      <c r="P28" s="72"/>
    </row>
    <row r="29" spans="1:16" x14ac:dyDescent="0.3">
      <c r="A29" s="72"/>
      <c r="B29" s="72"/>
      <c r="C29" s="72"/>
      <c r="D29" s="72"/>
      <c r="E29" s="72"/>
      <c r="F29" s="72"/>
      <c r="G29" s="72"/>
      <c r="H29" s="72"/>
      <c r="I29" s="72"/>
      <c r="J29" s="72"/>
      <c r="K29" s="72"/>
      <c r="L29" s="72"/>
      <c r="M29" s="72"/>
      <c r="N29" s="72"/>
      <c r="O29" s="72"/>
      <c r="P29" s="72"/>
    </row>
    <row r="30" spans="1:16" x14ac:dyDescent="0.3">
      <c r="A30" s="72" t="s">
        <v>123</v>
      </c>
      <c r="B30" s="72"/>
      <c r="C30" s="72"/>
      <c r="D30" s="72"/>
      <c r="E30" s="72"/>
      <c r="F30" s="72"/>
      <c r="G30" s="72"/>
      <c r="H30" s="72"/>
      <c r="I30" s="72"/>
      <c r="J30" s="72"/>
      <c r="K30" s="72"/>
      <c r="L30" s="72"/>
      <c r="M30" s="72"/>
      <c r="N30" s="72"/>
      <c r="O30" s="72"/>
      <c r="P30" s="72"/>
    </row>
    <row r="31" spans="1:16" x14ac:dyDescent="0.3">
      <c r="A31" s="72"/>
      <c r="B31" s="72"/>
      <c r="C31" s="72"/>
      <c r="D31" s="72"/>
      <c r="E31" s="72"/>
      <c r="F31" s="72"/>
      <c r="G31" s="72"/>
      <c r="H31" s="72"/>
      <c r="I31" s="72"/>
      <c r="J31" s="72"/>
      <c r="K31" s="72"/>
      <c r="L31" s="72"/>
      <c r="M31" s="72"/>
      <c r="N31" s="72"/>
      <c r="O31" s="72"/>
      <c r="P31" s="72"/>
    </row>
    <row r="33" spans="6:16" x14ac:dyDescent="0.3">
      <c r="F33" s="5"/>
      <c r="G33" s="5"/>
      <c r="H33" s="5"/>
      <c r="I33" s="5"/>
      <c r="J33" s="5"/>
      <c r="K33" s="5"/>
      <c r="L33" s="5"/>
      <c r="M33" s="5"/>
      <c r="N33" s="5"/>
      <c r="O33" s="5"/>
      <c r="P33" s="5"/>
    </row>
  </sheetData>
  <mergeCells count="2">
    <mergeCell ref="A27:P29"/>
    <mergeCell ref="A30:P31"/>
  </mergeCells>
  <phoneticPr fontId="7" type="noConversion"/>
  <conditionalFormatting sqref="A7:P11">
    <cfRule type="expression" dxfId="19" priority="5">
      <formula>MOD(ROW(),2)=0</formula>
    </cfRule>
  </conditionalFormatting>
  <conditionalFormatting sqref="A14:P16">
    <cfRule type="expression" dxfId="18" priority="4">
      <formula>MOD(ROW(),2)=0</formula>
    </cfRule>
  </conditionalFormatting>
  <conditionalFormatting sqref="A19:P20">
    <cfRule type="expression" dxfId="17" priority="3">
      <formula>MOD(ROW(),2)=0</formula>
    </cfRule>
  </conditionalFormatting>
  <conditionalFormatting sqref="A23:P24">
    <cfRule type="expression" dxfId="16" priority="1">
      <formula>MOD(ROW(),2)=0</formula>
    </cfRule>
  </conditionalFormatting>
  <pageMargins left="0.5" right="0.5" top="0.75" bottom="0.75" header="0.3" footer="0.3"/>
  <pageSetup scale="4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CE75-A7BA-E04B-85BD-97BF05B8C37C}">
  <sheetPr>
    <pageSetUpPr fitToPage="1"/>
  </sheetPr>
  <dimension ref="A1"/>
  <sheetViews>
    <sheetView workbookViewId="0">
      <selection activeCell="F17" sqref="F17"/>
    </sheetView>
  </sheetViews>
  <sheetFormatPr defaultColWidth="10.88671875" defaultRowHeight="14.4" x14ac:dyDescent="0.3"/>
  <cols>
    <col min="1" max="16384" width="10.88671875" style="6"/>
  </cols>
  <sheetData/>
  <pageMargins left="0.7" right="0.7" top="0.75" bottom="0.75" header="0.3" footer="0.3"/>
  <pageSetup scale="7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832E-EB42-1A48-A80C-06C27E665F02}">
  <sheetPr>
    <tabColor rgb="FF2C6B73"/>
    <pageSetUpPr fitToPage="1"/>
  </sheetPr>
  <dimension ref="A1:X29"/>
  <sheetViews>
    <sheetView showGridLines="0" view="pageBreakPreview" zoomScaleNormal="100" workbookViewId="0">
      <selection activeCell="A27" sqref="A27"/>
    </sheetView>
  </sheetViews>
  <sheetFormatPr defaultColWidth="10.88671875" defaultRowHeight="14.4" x14ac:dyDescent="0.3"/>
  <cols>
    <col min="1" max="1" width="45.44140625" customWidth="1"/>
    <col min="2" max="2" width="13.109375" customWidth="1"/>
    <col min="3" max="3" width="2.44140625" customWidth="1"/>
    <col min="4" max="4" width="13.109375" customWidth="1"/>
    <col min="5" max="5" width="2.44140625" customWidth="1"/>
    <col min="6" max="6" width="13.109375" customWidth="1"/>
    <col min="7" max="7" width="2.44140625" customWidth="1"/>
    <col min="8" max="8" width="13.109375" customWidth="1"/>
    <col min="9" max="9" width="2.44140625" customWidth="1"/>
    <col min="10" max="10" width="13.109375" customWidth="1"/>
    <col min="11" max="11" width="2.44140625" customWidth="1"/>
    <col min="12" max="12" width="13.109375" customWidth="1"/>
    <col min="13" max="13" width="2.44140625" customWidth="1"/>
    <col min="14" max="14" width="13.109375" customWidth="1"/>
    <col min="15" max="15" width="2.44140625" customWidth="1"/>
    <col min="16" max="16" width="13.109375" customWidth="1"/>
    <col min="17" max="17" width="2.44140625" customWidth="1"/>
    <col min="18" max="18" width="13.109375" customWidth="1"/>
    <col min="19" max="19" width="2.44140625" customWidth="1"/>
    <col min="20" max="20" width="13.109375" customWidth="1"/>
    <col min="21" max="21" width="2.44140625" customWidth="1"/>
    <col min="22" max="22" width="13.109375" customWidth="1"/>
    <col min="23" max="23" width="2.44140625" customWidth="1"/>
    <col min="24" max="24" width="13.109375" customWidth="1"/>
  </cols>
  <sheetData>
    <row r="1" spans="1:24" ht="15" x14ac:dyDescent="0.35">
      <c r="A1" s="7"/>
      <c r="B1" s="73">
        <v>43830</v>
      </c>
      <c r="C1" s="73"/>
      <c r="D1" s="73"/>
      <c r="E1" s="73"/>
      <c r="F1" s="73"/>
      <c r="G1" s="7"/>
      <c r="H1" s="73">
        <v>44196</v>
      </c>
      <c r="I1" s="73"/>
      <c r="J1" s="73"/>
      <c r="K1" s="73"/>
      <c r="L1" s="73"/>
      <c r="M1" s="7"/>
      <c r="N1" s="73">
        <v>44561</v>
      </c>
      <c r="O1" s="73"/>
      <c r="P1" s="73"/>
      <c r="Q1" s="73"/>
      <c r="R1" s="73"/>
      <c r="S1" s="7"/>
      <c r="T1" s="73">
        <v>44926</v>
      </c>
      <c r="U1" s="73"/>
      <c r="V1" s="73"/>
      <c r="W1" s="73"/>
      <c r="X1" s="73"/>
    </row>
    <row r="2" spans="1:24" ht="45" x14ac:dyDescent="0.35">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 x14ac:dyDescent="0.35">
      <c r="A3" s="7" t="s">
        <v>45</v>
      </c>
      <c r="B3" s="7"/>
      <c r="C3" s="7"/>
      <c r="D3" s="7"/>
      <c r="E3" s="7"/>
      <c r="F3" s="7"/>
      <c r="G3" s="7"/>
      <c r="H3" s="7"/>
      <c r="I3" s="7"/>
      <c r="J3" s="7"/>
      <c r="K3" s="7"/>
      <c r="L3" s="7"/>
      <c r="M3" s="7"/>
      <c r="N3" s="7"/>
      <c r="O3" s="7"/>
      <c r="P3" s="7"/>
      <c r="Q3" s="7"/>
      <c r="R3" s="7"/>
      <c r="S3" s="7"/>
      <c r="T3" s="7"/>
      <c r="U3" s="7"/>
      <c r="V3" s="7"/>
      <c r="W3" s="7"/>
      <c r="X3" s="7"/>
    </row>
    <row r="4" spans="1:24" ht="15" x14ac:dyDescent="0.35">
      <c r="A4" s="7" t="s">
        <v>46</v>
      </c>
      <c r="B4" s="15">
        <v>3692838</v>
      </c>
      <c r="C4" s="15"/>
      <c r="D4" s="15">
        <v>-135838</v>
      </c>
      <c r="E4" s="15"/>
      <c r="F4" s="15">
        <v>3557000</v>
      </c>
      <c r="G4" s="7"/>
      <c r="H4" s="15">
        <v>1878940</v>
      </c>
      <c r="I4" s="15"/>
      <c r="J4" s="15">
        <v>-46940</v>
      </c>
      <c r="K4" s="15"/>
      <c r="L4" s="15">
        <v>1832000</v>
      </c>
      <c r="M4" s="7"/>
      <c r="N4" s="15">
        <v>2006047</v>
      </c>
      <c r="O4" s="15"/>
      <c r="P4" s="15">
        <v>599953</v>
      </c>
      <c r="Q4" s="15"/>
      <c r="R4" s="15">
        <v>2606000</v>
      </c>
      <c r="S4" s="7"/>
      <c r="T4" s="15">
        <v>1944000</v>
      </c>
      <c r="U4" s="15"/>
      <c r="V4" s="15">
        <v>0</v>
      </c>
      <c r="W4" s="15"/>
      <c r="X4" s="15">
        <v>1944000</v>
      </c>
    </row>
    <row r="5" spans="1:24" ht="15" x14ac:dyDescent="0.35">
      <c r="A5" s="7" t="s">
        <v>47</v>
      </c>
      <c r="B5" s="15">
        <v>3105377</v>
      </c>
      <c r="C5" s="15"/>
      <c r="D5" s="15">
        <v>46623</v>
      </c>
      <c r="E5" s="15"/>
      <c r="F5" s="15">
        <v>3152000</v>
      </c>
      <c r="G5" s="7"/>
      <c r="H5" s="15">
        <v>3283606</v>
      </c>
      <c r="I5" s="15"/>
      <c r="J5" s="15">
        <v>-68606</v>
      </c>
      <c r="K5" s="15"/>
      <c r="L5" s="15">
        <v>3215000</v>
      </c>
      <c r="M5" s="7"/>
      <c r="N5" s="15">
        <v>125628</v>
      </c>
      <c r="O5" s="15"/>
      <c r="P5" s="15">
        <v>1816372</v>
      </c>
      <c r="Q5" s="15"/>
      <c r="R5" s="15">
        <v>1942000</v>
      </c>
      <c r="S5" s="7"/>
      <c r="T5" s="15">
        <v>2133000</v>
      </c>
      <c r="U5" s="15"/>
      <c r="V5" s="15">
        <v>-68000</v>
      </c>
      <c r="W5" s="15"/>
      <c r="X5" s="15">
        <v>2065000</v>
      </c>
    </row>
    <row r="6" spans="1:24" ht="15" x14ac:dyDescent="0.35">
      <c r="A6" s="7" t="s">
        <v>48</v>
      </c>
      <c r="B6" s="15">
        <v>10956449</v>
      </c>
      <c r="C6" s="15"/>
      <c r="D6" s="15">
        <v>-2896449</v>
      </c>
      <c r="E6" s="15"/>
      <c r="F6" s="15">
        <v>8060000</v>
      </c>
      <c r="G6" s="7"/>
      <c r="H6" s="15">
        <v>9228103</v>
      </c>
      <c r="I6" s="15"/>
      <c r="J6" s="15">
        <v>-5514103</v>
      </c>
      <c r="K6" s="15"/>
      <c r="L6" s="15">
        <v>3714000</v>
      </c>
      <c r="M6" s="7"/>
      <c r="N6" s="15">
        <v>19565361</v>
      </c>
      <c r="O6" s="15"/>
      <c r="P6" s="15">
        <v>-10132361</v>
      </c>
      <c r="Q6" s="15"/>
      <c r="R6" s="15">
        <v>9433000</v>
      </c>
      <c r="S6" s="7"/>
      <c r="T6" s="15">
        <v>31526000</v>
      </c>
      <c r="U6" s="15"/>
      <c r="V6" s="15">
        <v>-11452000</v>
      </c>
      <c r="W6" s="15"/>
      <c r="X6" s="15">
        <v>20074000</v>
      </c>
    </row>
    <row r="7" spans="1:24" ht="15" x14ac:dyDescent="0.35">
      <c r="A7" s="7" t="s">
        <v>62</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46</v>
      </c>
      <c r="B8" s="24">
        <v>0</v>
      </c>
      <c r="C8" s="24"/>
      <c r="D8" s="24">
        <v>13134000</v>
      </c>
      <c r="E8" s="15"/>
      <c r="F8" s="24">
        <v>13134000</v>
      </c>
      <c r="G8" s="7"/>
      <c r="H8" s="24">
        <v>0</v>
      </c>
      <c r="I8" s="24"/>
      <c r="J8" s="24">
        <v>8983000</v>
      </c>
      <c r="K8" s="15"/>
      <c r="L8" s="24">
        <v>8983000</v>
      </c>
      <c r="M8" s="7"/>
      <c r="N8" s="24">
        <v>0</v>
      </c>
      <c r="O8" s="24"/>
      <c r="P8" s="24">
        <v>13926000</v>
      </c>
      <c r="Q8" s="15"/>
      <c r="R8" s="24">
        <v>13926000</v>
      </c>
      <c r="S8" s="7"/>
      <c r="T8" s="24">
        <v>0</v>
      </c>
      <c r="U8" s="24"/>
      <c r="V8" s="24">
        <v>13990000</v>
      </c>
      <c r="W8" s="15"/>
      <c r="X8" s="24">
        <v>13990000</v>
      </c>
    </row>
    <row r="9" spans="1:24" ht="15" x14ac:dyDescent="0.35">
      <c r="A9" s="7" t="s">
        <v>47</v>
      </c>
      <c r="B9" s="24">
        <v>0</v>
      </c>
      <c r="C9" s="24"/>
      <c r="D9" s="24">
        <v>141399000</v>
      </c>
      <c r="E9" s="15"/>
      <c r="F9" s="24">
        <v>141399000</v>
      </c>
      <c r="G9" s="7"/>
      <c r="H9" s="24">
        <v>0</v>
      </c>
      <c r="I9" s="24"/>
      <c r="J9" s="24">
        <v>191796000</v>
      </c>
      <c r="K9" s="15"/>
      <c r="L9" s="24">
        <v>191796000</v>
      </c>
      <c r="M9" s="7"/>
      <c r="N9" s="24">
        <v>0</v>
      </c>
      <c r="O9" s="24"/>
      <c r="P9" s="24">
        <v>193614000</v>
      </c>
      <c r="Q9" s="15"/>
      <c r="R9" s="24">
        <v>193614000</v>
      </c>
      <c r="S9" s="7"/>
      <c r="T9" s="24">
        <v>0</v>
      </c>
      <c r="U9" s="24"/>
      <c r="V9" s="24">
        <v>196177000</v>
      </c>
      <c r="W9" s="15"/>
      <c r="X9" s="24">
        <v>196177000</v>
      </c>
    </row>
    <row r="10" spans="1:24" ht="15" x14ac:dyDescent="0.35">
      <c r="A10" s="7" t="s">
        <v>48</v>
      </c>
      <c r="B10" s="24">
        <v>0</v>
      </c>
      <c r="C10" s="24"/>
      <c r="D10" s="24">
        <v>6583000</v>
      </c>
      <c r="E10" s="15"/>
      <c r="F10" s="24">
        <v>6583000</v>
      </c>
      <c r="G10" s="7"/>
      <c r="H10" s="24">
        <v>0</v>
      </c>
      <c r="I10" s="24"/>
      <c r="J10" s="24">
        <v>17797000</v>
      </c>
      <c r="K10" s="15"/>
      <c r="L10" s="24">
        <v>17797000</v>
      </c>
      <c r="M10" s="7"/>
      <c r="N10" s="24">
        <v>0</v>
      </c>
      <c r="O10" s="24"/>
      <c r="P10" s="24">
        <v>24127000</v>
      </c>
      <c r="Q10" s="15"/>
      <c r="R10" s="24">
        <v>24127000</v>
      </c>
      <c r="S10" s="7"/>
      <c r="T10" s="24">
        <v>0</v>
      </c>
      <c r="U10" s="24"/>
      <c r="V10" s="24">
        <v>44584000</v>
      </c>
      <c r="W10" s="15"/>
      <c r="X10" s="24">
        <v>44584000</v>
      </c>
    </row>
    <row r="11" spans="1:24" ht="15.6" thickBot="1" x14ac:dyDescent="0.4">
      <c r="A11" s="7" t="s">
        <v>49</v>
      </c>
      <c r="B11" s="38">
        <v>17754664</v>
      </c>
      <c r="C11" s="24"/>
      <c r="D11" s="38">
        <v>158130336</v>
      </c>
      <c r="E11" s="15"/>
      <c r="F11" s="38">
        <v>175885000</v>
      </c>
      <c r="G11" s="7"/>
      <c r="H11" s="38">
        <v>14390649</v>
      </c>
      <c r="I11" s="24"/>
      <c r="J11" s="38">
        <v>212946351</v>
      </c>
      <c r="K11" s="15"/>
      <c r="L11" s="38">
        <v>227337000</v>
      </c>
      <c r="M11" s="7"/>
      <c r="N11" s="33">
        <v>21697036</v>
      </c>
      <c r="O11" s="24"/>
      <c r="P11" s="38">
        <v>223950964</v>
      </c>
      <c r="Q11" s="15"/>
      <c r="R11" s="38">
        <v>245648000</v>
      </c>
      <c r="S11" s="7"/>
      <c r="T11" s="33">
        <v>35603000</v>
      </c>
      <c r="U11" s="24"/>
      <c r="V11" s="38">
        <v>243231000</v>
      </c>
      <c r="W11" s="15"/>
      <c r="X11" s="38">
        <v>278834000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51</v>
      </c>
      <c r="B14" s="15">
        <v>11785144</v>
      </c>
      <c r="C14" s="15"/>
      <c r="D14" s="15">
        <v>-3400144</v>
      </c>
      <c r="E14" s="15"/>
      <c r="F14" s="15">
        <v>8385000</v>
      </c>
      <c r="G14" s="7"/>
      <c r="H14" s="15">
        <v>9469144</v>
      </c>
      <c r="I14" s="15"/>
      <c r="J14" s="15">
        <v>-3434144</v>
      </c>
      <c r="K14" s="15"/>
      <c r="L14" s="15">
        <v>6035000</v>
      </c>
      <c r="M14" s="7"/>
      <c r="N14" s="15">
        <v>7664591</v>
      </c>
      <c r="O14" s="15"/>
      <c r="P14" s="15">
        <v>409</v>
      </c>
      <c r="Q14" s="15"/>
      <c r="R14" s="15">
        <v>7665000</v>
      </c>
      <c r="S14" s="7"/>
      <c r="T14" s="15">
        <v>15018000</v>
      </c>
      <c r="U14" s="15"/>
      <c r="V14" s="15">
        <v>0</v>
      </c>
      <c r="W14" s="15"/>
      <c r="X14" s="15">
        <v>15018000</v>
      </c>
    </row>
    <row r="15" spans="1:24" ht="15" x14ac:dyDescent="0.35">
      <c r="A15" s="7" t="s">
        <v>52</v>
      </c>
      <c r="B15" s="15">
        <v>18201507</v>
      </c>
      <c r="C15" s="15"/>
      <c r="D15" s="15">
        <v>1019493</v>
      </c>
      <c r="E15" s="15"/>
      <c r="F15" s="15">
        <v>19221000</v>
      </c>
      <c r="G15" s="7"/>
      <c r="H15" s="15">
        <v>17832526</v>
      </c>
      <c r="I15" s="15"/>
      <c r="J15" s="15">
        <v>187474</v>
      </c>
      <c r="K15" s="15"/>
      <c r="L15" s="15">
        <v>18020000</v>
      </c>
      <c r="M15" s="7"/>
      <c r="N15" s="15">
        <v>20320613</v>
      </c>
      <c r="O15" s="15"/>
      <c r="P15" s="15">
        <v>528387</v>
      </c>
      <c r="Q15" s="15"/>
      <c r="R15" s="15">
        <v>20849000</v>
      </c>
      <c r="S15" s="7"/>
      <c r="T15" s="15">
        <v>20624000</v>
      </c>
      <c r="U15" s="15"/>
      <c r="V15" s="15">
        <v>-37000</v>
      </c>
      <c r="W15" s="15"/>
      <c r="X15" s="15">
        <v>20587000</v>
      </c>
    </row>
    <row r="16" spans="1:24" ht="15" x14ac:dyDescent="0.35">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65</v>
      </c>
      <c r="B17" s="15">
        <v>0</v>
      </c>
      <c r="C17" s="15"/>
      <c r="D17" s="15">
        <v>122917000</v>
      </c>
      <c r="E17" s="15"/>
      <c r="F17" s="15">
        <v>122917000</v>
      </c>
      <c r="G17" s="7"/>
      <c r="H17" s="15">
        <v>0</v>
      </c>
      <c r="I17" s="15"/>
      <c r="J17" s="15">
        <v>142502000</v>
      </c>
      <c r="K17" s="15"/>
      <c r="L17" s="15">
        <v>142502000</v>
      </c>
      <c r="M17" s="7"/>
      <c r="N17" s="15">
        <v>0</v>
      </c>
      <c r="O17" s="15"/>
      <c r="P17" s="15">
        <v>152554000</v>
      </c>
      <c r="Q17" s="15"/>
      <c r="R17" s="15">
        <v>152554000</v>
      </c>
      <c r="S17" s="7"/>
      <c r="T17" s="15">
        <v>0</v>
      </c>
      <c r="U17" s="15"/>
      <c r="V17" s="15">
        <v>141229000</v>
      </c>
      <c r="W17" s="15"/>
      <c r="X17" s="15">
        <v>141229000</v>
      </c>
    </row>
    <row r="18" spans="1:24" ht="15" x14ac:dyDescent="0.35">
      <c r="A18" s="7" t="s">
        <v>52</v>
      </c>
      <c r="B18" s="15">
        <v>0</v>
      </c>
      <c r="C18" s="15"/>
      <c r="D18" s="15">
        <v>11333000</v>
      </c>
      <c r="E18" s="15"/>
      <c r="F18" s="15">
        <v>11333000</v>
      </c>
      <c r="G18" s="7"/>
      <c r="H18" s="15">
        <v>0</v>
      </c>
      <c r="I18" s="15"/>
      <c r="J18" s="15">
        <v>12342000</v>
      </c>
      <c r="K18" s="15"/>
      <c r="L18" s="15">
        <v>12342000</v>
      </c>
      <c r="M18" s="7"/>
      <c r="N18" s="15">
        <v>0</v>
      </c>
      <c r="O18" s="15"/>
      <c r="P18" s="15">
        <v>14887000</v>
      </c>
      <c r="Q18" s="15"/>
      <c r="R18" s="15">
        <v>14887000</v>
      </c>
      <c r="S18" s="7"/>
      <c r="T18" s="15">
        <v>0</v>
      </c>
      <c r="U18" s="15"/>
      <c r="V18" s="15">
        <v>24811000</v>
      </c>
      <c r="W18" s="15"/>
      <c r="X18" s="15">
        <v>24811000</v>
      </c>
    </row>
    <row r="19" spans="1:24" ht="15" x14ac:dyDescent="0.35">
      <c r="A19" s="7" t="s">
        <v>53</v>
      </c>
      <c r="B19" s="14">
        <v>29986651</v>
      </c>
      <c r="C19" s="15"/>
      <c r="D19" s="14">
        <v>131869349</v>
      </c>
      <c r="E19" s="15"/>
      <c r="F19" s="14">
        <v>161856000</v>
      </c>
      <c r="G19" s="7"/>
      <c r="H19" s="14">
        <v>27301670</v>
      </c>
      <c r="I19" s="15"/>
      <c r="J19" s="14">
        <v>151597330</v>
      </c>
      <c r="K19" s="15"/>
      <c r="L19" s="14">
        <v>178899000</v>
      </c>
      <c r="M19" s="7"/>
      <c r="N19" s="14">
        <v>27985204</v>
      </c>
      <c r="O19" s="15"/>
      <c r="P19" s="14">
        <v>167969796</v>
      </c>
      <c r="Q19" s="15"/>
      <c r="R19" s="14">
        <v>195955000</v>
      </c>
      <c r="S19" s="7"/>
      <c r="T19" s="14">
        <v>35642000</v>
      </c>
      <c r="U19" s="15"/>
      <c r="V19" s="14">
        <v>166003000</v>
      </c>
      <c r="W19" s="15"/>
      <c r="X19" s="14">
        <v>201645000</v>
      </c>
    </row>
    <row r="20" spans="1:24" ht="15" x14ac:dyDescent="0.35">
      <c r="A20" s="7"/>
      <c r="B20" s="21"/>
      <c r="C20" s="15"/>
      <c r="D20" s="21"/>
      <c r="E20" s="15"/>
      <c r="F20" s="21"/>
      <c r="G20" s="7"/>
      <c r="H20" s="24"/>
      <c r="I20" s="24"/>
      <c r="J20" s="15"/>
      <c r="K20" s="15"/>
      <c r="L20" s="15"/>
      <c r="M20" s="7"/>
      <c r="N20" s="24"/>
      <c r="O20" s="24"/>
      <c r="P20" s="15"/>
      <c r="Q20" s="15"/>
      <c r="R20" s="15"/>
      <c r="S20" s="7"/>
      <c r="T20" s="24"/>
      <c r="U20" s="24"/>
      <c r="V20" s="15"/>
      <c r="W20" s="15"/>
      <c r="X20" s="15"/>
    </row>
    <row r="21" spans="1:24" ht="15" x14ac:dyDescent="0.35">
      <c r="A21" s="7" t="s">
        <v>66</v>
      </c>
      <c r="B21" s="15">
        <v>0</v>
      </c>
      <c r="C21" s="24"/>
      <c r="D21" s="15">
        <v>3842000</v>
      </c>
      <c r="E21" s="15"/>
      <c r="F21" s="15">
        <v>3842000</v>
      </c>
      <c r="G21" s="7"/>
      <c r="H21" s="15">
        <v>0</v>
      </c>
      <c r="I21" s="7"/>
      <c r="J21" s="15">
        <v>0</v>
      </c>
      <c r="K21" s="7"/>
      <c r="L21" s="15">
        <v>0</v>
      </c>
      <c r="M21" s="7"/>
      <c r="N21" s="15">
        <v>0</v>
      </c>
      <c r="O21" s="7"/>
      <c r="P21" s="15">
        <v>0</v>
      </c>
      <c r="Q21" s="7"/>
      <c r="R21" s="15">
        <v>0</v>
      </c>
      <c r="S21" s="7"/>
      <c r="T21" s="15">
        <v>0</v>
      </c>
      <c r="U21" s="7"/>
      <c r="V21" s="15">
        <v>0</v>
      </c>
      <c r="W21" s="7"/>
      <c r="X21" s="15">
        <v>0</v>
      </c>
    </row>
    <row r="22" spans="1:24" ht="15" x14ac:dyDescent="0.35">
      <c r="A22" s="7"/>
      <c r="B22" s="24"/>
      <c r="C22" s="24"/>
      <c r="D22" s="15"/>
      <c r="E22" s="15"/>
      <c r="F22" s="15"/>
      <c r="G22" s="7"/>
      <c r="H22" s="7"/>
      <c r="I22" s="7"/>
      <c r="J22" s="7"/>
      <c r="K22" s="7"/>
      <c r="L22" s="7"/>
      <c r="M22" s="7"/>
      <c r="N22" s="7"/>
      <c r="O22" s="7"/>
      <c r="P22" s="7"/>
      <c r="Q22" s="7"/>
      <c r="R22" s="7"/>
      <c r="S22" s="7"/>
      <c r="T22" s="7"/>
      <c r="U22" s="7"/>
      <c r="V22" s="7"/>
      <c r="W22" s="7"/>
      <c r="X22" s="7"/>
    </row>
    <row r="23" spans="1:24" ht="15" x14ac:dyDescent="0.35">
      <c r="A23" s="7" t="s">
        <v>67</v>
      </c>
      <c r="B23" s="39">
        <v>-12231987</v>
      </c>
      <c r="C23" s="24"/>
      <c r="D23" s="21">
        <v>-5596013</v>
      </c>
      <c r="E23" s="15"/>
      <c r="F23" s="21">
        <v>-17828000</v>
      </c>
      <c r="G23" s="7"/>
      <c r="H23" s="39">
        <v>-12911021</v>
      </c>
      <c r="I23" s="24"/>
      <c r="J23" s="21">
        <v>-3426979</v>
      </c>
      <c r="K23" s="15"/>
      <c r="L23" s="21">
        <v>-16338000</v>
      </c>
      <c r="M23" s="7"/>
      <c r="N23" s="39">
        <v>-6288168</v>
      </c>
      <c r="O23" s="24"/>
      <c r="P23" s="21">
        <v>-2800832</v>
      </c>
      <c r="Q23" s="15"/>
      <c r="R23" s="21">
        <v>-9089000</v>
      </c>
      <c r="S23" s="7"/>
      <c r="T23" s="39">
        <v>-39000</v>
      </c>
      <c r="U23" s="24"/>
      <c r="V23" s="21">
        <v>-3170000</v>
      </c>
      <c r="W23" s="15"/>
      <c r="X23" s="21">
        <v>-3209000</v>
      </c>
    </row>
    <row r="24" spans="1:24" ht="15" x14ac:dyDescent="0.35">
      <c r="A24" s="7" t="s">
        <v>68</v>
      </c>
      <c r="B24" s="24">
        <v>0</v>
      </c>
      <c r="C24" s="24"/>
      <c r="D24" s="15">
        <v>28015000</v>
      </c>
      <c r="E24" s="15"/>
      <c r="F24" s="15">
        <v>28015000</v>
      </c>
      <c r="G24" s="7"/>
      <c r="H24" s="24">
        <v>0</v>
      </c>
      <c r="I24" s="24"/>
      <c r="J24" s="15">
        <v>64776000</v>
      </c>
      <c r="K24" s="15"/>
      <c r="L24" s="15">
        <v>64776000</v>
      </c>
      <c r="M24" s="7"/>
      <c r="N24" s="24">
        <v>0</v>
      </c>
      <c r="O24" s="24"/>
      <c r="P24" s="15">
        <v>58782000</v>
      </c>
      <c r="Q24" s="15"/>
      <c r="R24" s="15">
        <v>58782000</v>
      </c>
      <c r="S24" s="7"/>
      <c r="T24" s="24">
        <v>0</v>
      </c>
      <c r="U24" s="24"/>
      <c r="V24" s="15">
        <v>80398000</v>
      </c>
      <c r="W24" s="15"/>
      <c r="X24" s="15">
        <v>80398000</v>
      </c>
    </row>
    <row r="25" spans="1:24" ht="15" x14ac:dyDescent="0.35">
      <c r="A25" s="7" t="s">
        <v>69</v>
      </c>
      <c r="B25" s="24">
        <v>-12231987</v>
      </c>
      <c r="C25" s="24"/>
      <c r="D25" s="15">
        <v>22418987</v>
      </c>
      <c r="E25" s="15"/>
      <c r="F25" s="15">
        <v>10187000</v>
      </c>
      <c r="G25" s="7"/>
      <c r="H25" s="24">
        <v>-12911021</v>
      </c>
      <c r="I25" s="24"/>
      <c r="J25" s="15">
        <v>61349021</v>
      </c>
      <c r="K25" s="15"/>
      <c r="L25" s="15">
        <v>48438000</v>
      </c>
      <c r="M25" s="7"/>
      <c r="N25" s="24">
        <v>-6288168</v>
      </c>
      <c r="O25" s="24"/>
      <c r="P25" s="15">
        <v>55981168</v>
      </c>
      <c r="Q25" s="15"/>
      <c r="R25" s="15">
        <v>49693000</v>
      </c>
      <c r="S25" s="7"/>
      <c r="T25" s="24">
        <v>-39000</v>
      </c>
      <c r="U25" s="24"/>
      <c r="V25" s="15">
        <v>77228000</v>
      </c>
      <c r="W25" s="15"/>
      <c r="X25" s="15">
        <v>77189000</v>
      </c>
    </row>
    <row r="26" spans="1:24" ht="15.6" thickBot="1" x14ac:dyDescent="0.4">
      <c r="A26" s="7" t="s">
        <v>70</v>
      </c>
      <c r="B26" s="33">
        <v>17754664</v>
      </c>
      <c r="C26" s="24"/>
      <c r="D26" s="38">
        <v>158130336</v>
      </c>
      <c r="E26" s="15"/>
      <c r="F26" s="38">
        <v>175885000</v>
      </c>
      <c r="G26" s="7"/>
      <c r="H26" s="33">
        <v>14390649</v>
      </c>
      <c r="I26" s="24"/>
      <c r="J26" s="38">
        <v>212946351</v>
      </c>
      <c r="K26" s="15"/>
      <c r="L26" s="38">
        <v>227337000</v>
      </c>
      <c r="M26" s="7"/>
      <c r="N26" s="33">
        <v>21697036</v>
      </c>
      <c r="O26" s="24"/>
      <c r="P26" s="38">
        <v>223950964</v>
      </c>
      <c r="Q26" s="15"/>
      <c r="R26" s="38">
        <v>245648000</v>
      </c>
      <c r="S26" s="7"/>
      <c r="T26" s="33">
        <v>35603000</v>
      </c>
      <c r="U26" s="24"/>
      <c r="V26" s="38">
        <v>243231000</v>
      </c>
      <c r="W26" s="15"/>
      <c r="X26" s="38">
        <v>278834000</v>
      </c>
    </row>
    <row r="27" spans="1:24" ht="15.6" thickTop="1" x14ac:dyDescent="0.35">
      <c r="A27" s="7"/>
      <c r="B27" s="7"/>
      <c r="C27" s="7"/>
      <c r="D27" s="7"/>
      <c r="E27" s="7"/>
      <c r="F27" s="7"/>
      <c r="G27" s="7"/>
      <c r="H27" s="7"/>
      <c r="I27" s="7"/>
      <c r="J27" s="7"/>
      <c r="K27" s="7"/>
      <c r="L27" s="7"/>
      <c r="M27" s="7"/>
      <c r="N27" s="7"/>
      <c r="O27" s="7"/>
      <c r="P27" s="7"/>
      <c r="Q27" s="7"/>
      <c r="R27" s="7"/>
      <c r="S27" s="7"/>
      <c r="T27" s="7"/>
      <c r="U27" s="7"/>
      <c r="V27" s="7"/>
      <c r="W27" s="7"/>
      <c r="X27" s="7"/>
    </row>
    <row r="28" spans="1:24" ht="15" x14ac:dyDescent="0.35">
      <c r="A28" s="7" t="s">
        <v>71</v>
      </c>
      <c r="B28" s="32">
        <v>-2.4514946753949296</v>
      </c>
      <c r="C28" s="7"/>
      <c r="D28" s="32">
        <v>-23.564875385385989</v>
      </c>
      <c r="E28" s="7"/>
      <c r="F28" s="32">
        <v>-9.0787525241193627</v>
      </c>
      <c r="G28" s="7"/>
      <c r="H28" s="32">
        <v>-2.1146019358190187</v>
      </c>
      <c r="I28" s="7"/>
      <c r="J28" s="32">
        <v>-44.236433897027091</v>
      </c>
      <c r="K28" s="7"/>
      <c r="L28" s="32">
        <v>-10.949871465295629</v>
      </c>
      <c r="M28" s="7"/>
      <c r="N28" s="32">
        <v>-4.4504542499500648</v>
      </c>
      <c r="O28" s="7"/>
      <c r="P28" s="32">
        <v>-59.971392786143547</v>
      </c>
      <c r="Q28" s="7"/>
      <c r="R28" s="32">
        <v>-21.559577511277368</v>
      </c>
      <c r="S28" s="7"/>
      <c r="T28" s="32">
        <v>-913.89743589743591</v>
      </c>
      <c r="U28" s="7"/>
      <c r="V28" s="32">
        <v>-52.366876971608832</v>
      </c>
      <c r="W28" s="7"/>
      <c r="X28" s="32">
        <v>-62.837332502337176</v>
      </c>
    </row>
    <row r="29" spans="1:24" ht="15" x14ac:dyDescent="0.35">
      <c r="A29" s="7" t="s">
        <v>72</v>
      </c>
      <c r="B29" s="32">
        <v>1.6889450005925204</v>
      </c>
      <c r="C29" s="7"/>
      <c r="D29" s="32">
        <v>0.8339282160255449</v>
      </c>
      <c r="E29" s="7"/>
      <c r="F29" s="32">
        <v>0.92023765528612445</v>
      </c>
      <c r="G29" s="7"/>
      <c r="H29" s="32">
        <v>1.897181287654226</v>
      </c>
      <c r="I29" s="7"/>
      <c r="J29" s="32">
        <v>0.71190386352288326</v>
      </c>
      <c r="K29" s="7"/>
      <c r="L29" s="32">
        <v>0.78693305533195212</v>
      </c>
      <c r="M29" s="7"/>
      <c r="N29" s="32">
        <v>1.2898169132410529</v>
      </c>
      <c r="O29" s="7"/>
      <c r="P29" s="32">
        <v>0.75002935017506778</v>
      </c>
      <c r="Q29" s="7"/>
      <c r="R29" s="32">
        <v>0.7977064743046961</v>
      </c>
      <c r="S29" s="7"/>
      <c r="T29" s="32">
        <v>1.0010954133078673</v>
      </c>
      <c r="U29" s="7"/>
      <c r="V29" s="32">
        <v>0.68249112983131266</v>
      </c>
      <c r="W29" s="7"/>
      <c r="X29" s="32">
        <v>0.72317220998873877</v>
      </c>
    </row>
  </sheetData>
  <mergeCells count="4">
    <mergeCell ref="B1:F1"/>
    <mergeCell ref="H1:L1"/>
    <mergeCell ref="N1:R1"/>
    <mergeCell ref="T1:X1"/>
  </mergeCells>
  <conditionalFormatting sqref="A4:X11 A14:X19 A21:X21 A23:X26 A28:X29">
    <cfRule type="expression" dxfId="15" priority="1">
      <formula>MOD(ROW(),2)=0</formula>
    </cfRule>
  </conditionalFormatting>
  <pageMargins left="0.7" right="0.7" top="0.75" bottom="0.75" header="0.3" footer="0.3"/>
  <pageSetup scale="54"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839-D420-1B48-A924-0062CB583B33}">
  <sheetPr>
    <tabColor rgb="FF2C6B73"/>
    <pageSetUpPr fitToPage="1"/>
  </sheetPr>
  <dimension ref="A1:X27"/>
  <sheetViews>
    <sheetView showGridLines="0" view="pageBreakPreview" zoomScaleNormal="100" workbookViewId="0">
      <selection activeCell="S27" sqref="S27"/>
    </sheetView>
  </sheetViews>
  <sheetFormatPr defaultColWidth="10.88671875" defaultRowHeight="14.4" x14ac:dyDescent="0.3"/>
  <cols>
    <col min="1" max="1" width="50.88671875" customWidth="1"/>
    <col min="2" max="2" width="12.6640625" customWidth="1"/>
    <col min="3" max="3" width="2.44140625" customWidth="1"/>
    <col min="4" max="4" width="12.6640625" customWidth="1"/>
    <col min="5" max="5" width="2.44140625" customWidth="1"/>
    <col min="6" max="6" width="12.6640625" customWidth="1"/>
    <col min="7" max="7" width="2.44140625" customWidth="1"/>
    <col min="8" max="8" width="12.6640625" customWidth="1"/>
    <col min="9" max="9" width="2.44140625" customWidth="1"/>
    <col min="10" max="10" width="12.6640625" customWidth="1"/>
    <col min="11" max="11" width="2.44140625" customWidth="1"/>
    <col min="12" max="12" width="12.6640625" customWidth="1"/>
    <col min="13" max="13" width="2.44140625" customWidth="1"/>
    <col min="14" max="14" width="12.6640625" customWidth="1"/>
    <col min="15" max="15" width="2.44140625" customWidth="1"/>
    <col min="16" max="16" width="12.6640625" customWidth="1"/>
    <col min="17" max="17" width="2.44140625" customWidth="1"/>
    <col min="18" max="18" width="12.6640625" customWidth="1"/>
    <col min="19" max="19" width="2.44140625" customWidth="1"/>
    <col min="20" max="20" width="12.6640625" customWidth="1"/>
    <col min="21" max="21" width="2.44140625" customWidth="1"/>
    <col min="22" max="22" width="12.6640625" customWidth="1"/>
    <col min="23" max="23" width="2.44140625" customWidth="1"/>
    <col min="24" max="24" width="12.6640625" customWidth="1"/>
  </cols>
  <sheetData>
    <row r="1" spans="1:24" ht="15" x14ac:dyDescent="0.35">
      <c r="A1" s="7"/>
      <c r="B1" s="74">
        <v>45016</v>
      </c>
      <c r="C1" s="74"/>
      <c r="D1" s="74"/>
      <c r="E1" s="74"/>
      <c r="F1" s="74"/>
      <c r="G1" s="7"/>
      <c r="H1" s="74">
        <v>45107</v>
      </c>
      <c r="I1" s="74"/>
      <c r="J1" s="74"/>
      <c r="K1" s="74"/>
      <c r="L1" s="74"/>
      <c r="M1" s="7"/>
      <c r="N1" s="74">
        <v>45199</v>
      </c>
      <c r="O1" s="74"/>
      <c r="P1" s="74"/>
      <c r="Q1" s="74"/>
      <c r="R1" s="74"/>
      <c r="S1" s="7"/>
      <c r="T1" s="74">
        <v>45291</v>
      </c>
      <c r="U1" s="74"/>
      <c r="V1" s="74"/>
      <c r="W1" s="74"/>
      <c r="X1" s="74"/>
    </row>
    <row r="2" spans="1:24" ht="45" x14ac:dyDescent="0.35">
      <c r="A2" s="7"/>
      <c r="B2" s="35" t="s">
        <v>59</v>
      </c>
      <c r="C2" s="36"/>
      <c r="D2" s="37" t="s">
        <v>60</v>
      </c>
      <c r="E2" s="36"/>
      <c r="F2" s="35" t="s">
        <v>61</v>
      </c>
      <c r="G2" s="7"/>
      <c r="H2" s="35" t="s">
        <v>59</v>
      </c>
      <c r="I2" s="36"/>
      <c r="J2" s="37" t="s">
        <v>60</v>
      </c>
      <c r="K2" s="36"/>
      <c r="L2" s="35" t="s">
        <v>61</v>
      </c>
      <c r="M2" s="7"/>
      <c r="N2" s="35" t="s">
        <v>59</v>
      </c>
      <c r="O2" s="36"/>
      <c r="P2" s="37" t="s">
        <v>60</v>
      </c>
      <c r="Q2" s="36"/>
      <c r="R2" s="35" t="s">
        <v>61</v>
      </c>
      <c r="S2" s="7"/>
      <c r="T2" s="35" t="s">
        <v>59</v>
      </c>
      <c r="U2" s="36"/>
      <c r="V2" s="37" t="s">
        <v>60</v>
      </c>
      <c r="W2" s="36"/>
      <c r="X2" s="35" t="s">
        <v>61</v>
      </c>
    </row>
    <row r="3" spans="1:24" ht="15" x14ac:dyDescent="0.35">
      <c r="A3" s="7" t="s">
        <v>45</v>
      </c>
      <c r="B3" s="7"/>
      <c r="C3" s="7"/>
      <c r="D3" s="7"/>
      <c r="E3" s="7"/>
      <c r="F3" s="7"/>
      <c r="G3" s="7"/>
      <c r="H3" s="7"/>
      <c r="I3" s="7"/>
      <c r="J3" s="7"/>
      <c r="K3" s="7"/>
      <c r="L3" s="7"/>
      <c r="M3" s="7"/>
      <c r="N3" s="7"/>
      <c r="O3" s="7"/>
      <c r="P3" s="7"/>
      <c r="Q3" s="7"/>
      <c r="R3" s="7"/>
      <c r="S3" s="7"/>
      <c r="T3" s="7"/>
      <c r="U3" s="7"/>
      <c r="V3" s="7"/>
      <c r="W3" s="7"/>
      <c r="X3" s="7"/>
    </row>
    <row r="4" spans="1:24" ht="15" x14ac:dyDescent="0.35">
      <c r="A4" s="7" t="s">
        <v>46</v>
      </c>
      <c r="B4" s="15">
        <v>4458000</v>
      </c>
      <c r="C4" s="15"/>
      <c r="D4" s="15">
        <v>0</v>
      </c>
      <c r="E4" s="15"/>
      <c r="F4" s="15">
        <v>4458000</v>
      </c>
      <c r="G4" s="7"/>
      <c r="H4" s="15">
        <v>3665000</v>
      </c>
      <c r="I4" s="15"/>
      <c r="J4" s="15">
        <v>0</v>
      </c>
      <c r="K4" s="15"/>
      <c r="L4" s="15">
        <v>3665000</v>
      </c>
      <c r="M4" s="7"/>
      <c r="N4" s="15">
        <v>3474000</v>
      </c>
      <c r="O4" s="15"/>
      <c r="P4" s="15">
        <v>0</v>
      </c>
      <c r="Q4" s="15"/>
      <c r="R4" s="15">
        <v>3474000</v>
      </c>
      <c r="S4" s="7"/>
      <c r="T4" s="15">
        <v>3509000</v>
      </c>
      <c r="U4" s="15"/>
      <c r="V4" s="15">
        <v>0</v>
      </c>
      <c r="W4" s="15"/>
      <c r="X4" s="15">
        <v>3509000</v>
      </c>
    </row>
    <row r="5" spans="1:24" ht="15" x14ac:dyDescent="0.35">
      <c r="A5" s="7" t="s">
        <v>47</v>
      </c>
      <c r="B5" s="15">
        <v>21493000</v>
      </c>
      <c r="C5" s="15"/>
      <c r="D5" s="15">
        <v>-42000</v>
      </c>
      <c r="E5" s="15"/>
      <c r="F5" s="15">
        <v>21451000</v>
      </c>
      <c r="G5" s="7"/>
      <c r="H5" s="15">
        <v>21453000</v>
      </c>
      <c r="I5" s="15"/>
      <c r="J5" s="15">
        <v>-42000</v>
      </c>
      <c r="K5" s="15"/>
      <c r="L5" s="15">
        <v>21411000</v>
      </c>
      <c r="M5" s="7"/>
      <c r="N5" s="15">
        <v>21425000</v>
      </c>
      <c r="O5" s="15"/>
      <c r="P5" s="15">
        <v>-42000</v>
      </c>
      <c r="Q5" s="15"/>
      <c r="R5" s="15">
        <v>21383000</v>
      </c>
      <c r="S5" s="7"/>
      <c r="T5" s="15">
        <v>21571000</v>
      </c>
      <c r="U5" s="15"/>
      <c r="V5" s="15">
        <v>-79000</v>
      </c>
      <c r="W5" s="15"/>
      <c r="X5" s="15">
        <v>21492000</v>
      </c>
    </row>
    <row r="6" spans="1:24" ht="15" x14ac:dyDescent="0.35">
      <c r="A6" s="7" t="s">
        <v>48</v>
      </c>
      <c r="B6" s="15">
        <v>47031000</v>
      </c>
      <c r="C6" s="15"/>
      <c r="D6" s="15">
        <v>-31968000</v>
      </c>
      <c r="E6" s="15"/>
      <c r="F6" s="15">
        <v>15063000</v>
      </c>
      <c r="G6" s="7"/>
      <c r="H6" s="15">
        <v>50796000</v>
      </c>
      <c r="I6" s="15"/>
      <c r="J6" s="15">
        <v>-36938000</v>
      </c>
      <c r="K6" s="15"/>
      <c r="L6" s="15">
        <v>13858000</v>
      </c>
      <c r="M6" s="7"/>
      <c r="N6" s="15">
        <v>46298000</v>
      </c>
      <c r="O6" s="15"/>
      <c r="P6" s="15">
        <v>-33677000</v>
      </c>
      <c r="Q6" s="15"/>
      <c r="R6" s="15">
        <v>12621000</v>
      </c>
      <c r="S6" s="7"/>
      <c r="T6" s="15">
        <v>49631000</v>
      </c>
      <c r="U6" s="15"/>
      <c r="V6" s="15">
        <v>-33560000</v>
      </c>
      <c r="W6" s="15"/>
      <c r="X6" s="15">
        <v>16071000</v>
      </c>
    </row>
    <row r="7" spans="1:24" ht="15" x14ac:dyDescent="0.35">
      <c r="A7" s="7" t="s">
        <v>62</v>
      </c>
      <c r="B7" s="24"/>
      <c r="C7" s="24"/>
      <c r="D7" s="15"/>
      <c r="E7" s="15"/>
      <c r="F7" s="15"/>
      <c r="G7" s="7"/>
      <c r="H7" s="24"/>
      <c r="I7" s="24"/>
      <c r="J7" s="15"/>
      <c r="K7" s="15"/>
      <c r="L7" s="15"/>
      <c r="M7" s="7"/>
      <c r="N7" s="24"/>
      <c r="O7" s="24"/>
      <c r="P7" s="15"/>
      <c r="Q7" s="15"/>
      <c r="R7" s="15"/>
      <c r="S7" s="7"/>
      <c r="T7" s="24"/>
      <c r="U7" s="24"/>
      <c r="V7" s="15"/>
      <c r="W7" s="15"/>
      <c r="X7" s="15"/>
    </row>
    <row r="8" spans="1:24" ht="15" x14ac:dyDescent="0.35">
      <c r="A8" s="7" t="s">
        <v>46</v>
      </c>
      <c r="B8" s="24">
        <v>0</v>
      </c>
      <c r="C8" s="24"/>
      <c r="D8" s="24">
        <v>19267000</v>
      </c>
      <c r="E8" s="15"/>
      <c r="F8" s="24">
        <v>19267000</v>
      </c>
      <c r="G8" s="7"/>
      <c r="H8" s="24">
        <v>0</v>
      </c>
      <c r="I8" s="24"/>
      <c r="J8" s="24">
        <v>17747000</v>
      </c>
      <c r="K8" s="15"/>
      <c r="L8" s="24">
        <v>17747000</v>
      </c>
      <c r="M8" s="7"/>
      <c r="N8" s="24">
        <v>0</v>
      </c>
      <c r="O8" s="24"/>
      <c r="P8" s="24">
        <v>14943000</v>
      </c>
      <c r="Q8" s="15"/>
      <c r="R8" s="24">
        <v>14943000</v>
      </c>
      <c r="S8" s="7"/>
      <c r="T8" s="24">
        <v>0</v>
      </c>
      <c r="U8" s="24"/>
      <c r="V8" s="24">
        <v>14131000</v>
      </c>
      <c r="W8" s="15"/>
      <c r="X8" s="24">
        <v>14131000</v>
      </c>
    </row>
    <row r="9" spans="1:24" ht="15" x14ac:dyDescent="0.35">
      <c r="A9" s="7" t="s">
        <v>47</v>
      </c>
      <c r="B9" s="24">
        <v>0</v>
      </c>
      <c r="C9" s="24"/>
      <c r="D9" s="24">
        <v>219829000</v>
      </c>
      <c r="E9" s="15"/>
      <c r="F9" s="24">
        <v>219829000</v>
      </c>
      <c r="G9" s="7"/>
      <c r="H9" s="24">
        <v>0</v>
      </c>
      <c r="I9" s="24"/>
      <c r="J9" s="24">
        <v>219834000</v>
      </c>
      <c r="K9" s="15"/>
      <c r="L9" s="24">
        <v>219834000</v>
      </c>
      <c r="M9" s="7"/>
      <c r="N9" s="24">
        <v>0</v>
      </c>
      <c r="O9" s="24"/>
      <c r="P9" s="24">
        <v>219140000</v>
      </c>
      <c r="Q9" s="15"/>
      <c r="R9" s="24">
        <v>219140000</v>
      </c>
      <c r="S9" s="7"/>
      <c r="T9" s="24">
        <v>0</v>
      </c>
      <c r="U9" s="24"/>
      <c r="V9" s="24">
        <v>185636000</v>
      </c>
      <c r="W9" s="15"/>
      <c r="X9" s="24">
        <v>185636000</v>
      </c>
    </row>
    <row r="10" spans="1:24" ht="15" x14ac:dyDescent="0.35">
      <c r="A10" s="7" t="s">
        <v>48</v>
      </c>
      <c r="B10" s="24">
        <v>0</v>
      </c>
      <c r="C10" s="24"/>
      <c r="D10" s="24">
        <v>51037000</v>
      </c>
      <c r="E10" s="15"/>
      <c r="F10" s="24">
        <v>51037000</v>
      </c>
      <c r="G10" s="7"/>
      <c r="H10" s="24">
        <v>0</v>
      </c>
      <c r="I10" s="24"/>
      <c r="J10" s="24">
        <v>52497000</v>
      </c>
      <c r="K10" s="15"/>
      <c r="L10" s="24">
        <v>52497000</v>
      </c>
      <c r="M10" s="7"/>
      <c r="N10" s="24">
        <v>0</v>
      </c>
      <c r="O10" s="24"/>
      <c r="P10" s="24">
        <v>53169000</v>
      </c>
      <c r="Q10" s="15"/>
      <c r="R10" s="24">
        <v>53169000</v>
      </c>
      <c r="S10" s="7"/>
      <c r="T10" s="24">
        <v>0</v>
      </c>
      <c r="U10" s="24"/>
      <c r="V10" s="24">
        <v>58593000</v>
      </c>
      <c r="W10" s="15"/>
      <c r="X10" s="24">
        <v>58593000</v>
      </c>
    </row>
    <row r="11" spans="1:24" ht="15.6" thickBot="1" x14ac:dyDescent="0.4">
      <c r="A11" s="7" t="s">
        <v>49</v>
      </c>
      <c r="B11" s="33">
        <v>72982000</v>
      </c>
      <c r="C11" s="24"/>
      <c r="D11" s="38">
        <v>258123000</v>
      </c>
      <c r="E11" s="15"/>
      <c r="F11" s="38">
        <v>331105000</v>
      </c>
      <c r="G11" s="7"/>
      <c r="H11" s="33">
        <v>75914000</v>
      </c>
      <c r="I11" s="24"/>
      <c r="J11" s="38">
        <v>253098000</v>
      </c>
      <c r="K11" s="15"/>
      <c r="L11" s="38">
        <v>329012000</v>
      </c>
      <c r="M11" s="7"/>
      <c r="N11" s="33">
        <v>71197000</v>
      </c>
      <c r="O11" s="24"/>
      <c r="P11" s="38">
        <v>253533000</v>
      </c>
      <c r="Q11" s="15"/>
      <c r="R11" s="38">
        <v>324730000</v>
      </c>
      <c r="S11" s="7"/>
      <c r="T11" s="33">
        <v>74711000</v>
      </c>
      <c r="U11" s="24"/>
      <c r="V11" s="38">
        <v>224721000</v>
      </c>
      <c r="W11" s="15"/>
      <c r="X11" s="38">
        <v>299432000</v>
      </c>
    </row>
    <row r="12" spans="1:24" ht="15.6" thickTop="1" x14ac:dyDescent="0.35">
      <c r="A12" s="7"/>
      <c r="B12" s="24"/>
      <c r="C12" s="24"/>
      <c r="D12" s="15"/>
      <c r="E12" s="15"/>
      <c r="F12" s="15"/>
      <c r="G12" s="7"/>
      <c r="H12" s="24"/>
      <c r="I12" s="24"/>
      <c r="J12" s="15"/>
      <c r="K12" s="15"/>
      <c r="L12" s="15"/>
      <c r="M12" s="7"/>
      <c r="N12" s="24"/>
      <c r="O12" s="24"/>
      <c r="P12" s="15"/>
      <c r="Q12" s="15"/>
      <c r="R12" s="15"/>
      <c r="S12" s="7"/>
      <c r="T12" s="24"/>
      <c r="U12" s="24"/>
      <c r="V12" s="15"/>
      <c r="W12" s="15"/>
      <c r="X12" s="15"/>
    </row>
    <row r="13" spans="1:24" ht="15" x14ac:dyDescent="0.35">
      <c r="A13" s="7" t="s">
        <v>63</v>
      </c>
      <c r="B13" s="24"/>
      <c r="C13" s="24"/>
      <c r="D13" s="15"/>
      <c r="E13" s="15"/>
      <c r="F13" s="15"/>
      <c r="G13" s="7"/>
      <c r="H13" s="24"/>
      <c r="I13" s="24"/>
      <c r="J13" s="15"/>
      <c r="K13" s="15"/>
      <c r="L13" s="15"/>
      <c r="M13" s="7"/>
      <c r="N13" s="24"/>
      <c r="O13" s="24"/>
      <c r="P13" s="15"/>
      <c r="Q13" s="15"/>
      <c r="R13" s="15"/>
      <c r="S13" s="7"/>
      <c r="T13" s="24"/>
      <c r="U13" s="24"/>
      <c r="V13" s="15"/>
      <c r="W13" s="15"/>
      <c r="X13" s="15"/>
    </row>
    <row r="14" spans="1:24" ht="15" x14ac:dyDescent="0.35">
      <c r="A14" s="7" t="s">
        <v>51</v>
      </c>
      <c r="B14" s="15">
        <v>51321000</v>
      </c>
      <c r="C14" s="15"/>
      <c r="D14" s="15">
        <v>0</v>
      </c>
      <c r="E14" s="15"/>
      <c r="F14" s="15">
        <v>51321000</v>
      </c>
      <c r="G14" s="7"/>
      <c r="H14" s="15">
        <v>54964000</v>
      </c>
      <c r="I14" s="15"/>
      <c r="J14" s="15">
        <v>0</v>
      </c>
      <c r="K14" s="15"/>
      <c r="L14" s="15">
        <v>54964000</v>
      </c>
      <c r="M14" s="7"/>
      <c r="N14" s="15">
        <v>54254000</v>
      </c>
      <c r="O14" s="15"/>
      <c r="P14" s="15">
        <v>0</v>
      </c>
      <c r="Q14" s="15"/>
      <c r="R14" s="15">
        <v>54254000</v>
      </c>
      <c r="S14" s="7"/>
      <c r="T14" s="15">
        <v>53799000</v>
      </c>
      <c r="U14" s="15"/>
      <c r="V14" s="15">
        <v>0</v>
      </c>
      <c r="W14" s="15"/>
      <c r="X14" s="15">
        <v>53799000</v>
      </c>
    </row>
    <row r="15" spans="1:24" ht="15" x14ac:dyDescent="0.35">
      <c r="A15" s="7" t="s">
        <v>52</v>
      </c>
      <c r="B15" s="15">
        <v>21802000</v>
      </c>
      <c r="C15" s="15"/>
      <c r="D15" s="15">
        <v>-1457000</v>
      </c>
      <c r="E15" s="15"/>
      <c r="F15" s="15">
        <v>20345000</v>
      </c>
      <c r="G15" s="7"/>
      <c r="H15" s="15">
        <v>9955000</v>
      </c>
      <c r="I15" s="15"/>
      <c r="J15" s="15">
        <v>-1379000</v>
      </c>
      <c r="K15" s="15"/>
      <c r="L15" s="15">
        <v>8576000</v>
      </c>
      <c r="M15" s="7"/>
      <c r="N15" s="15">
        <v>8899000</v>
      </c>
      <c r="O15" s="15"/>
      <c r="P15" s="15">
        <v>-1300000</v>
      </c>
      <c r="Q15" s="15"/>
      <c r="R15" s="15">
        <v>7599000</v>
      </c>
      <c r="S15" s="7"/>
      <c r="T15" s="15">
        <v>14256000</v>
      </c>
      <c r="U15" s="15"/>
      <c r="V15" s="15">
        <v>-4574000</v>
      </c>
      <c r="W15" s="15"/>
      <c r="X15" s="15">
        <v>9682000</v>
      </c>
    </row>
    <row r="16" spans="1:24" ht="15" x14ac:dyDescent="0.35">
      <c r="A16" s="7" t="s">
        <v>64</v>
      </c>
      <c r="B16" s="15"/>
      <c r="C16" s="15"/>
      <c r="D16" s="15"/>
      <c r="E16" s="15"/>
      <c r="F16" s="15"/>
      <c r="G16" s="7"/>
      <c r="H16" s="15"/>
      <c r="I16" s="15"/>
      <c r="J16" s="15"/>
      <c r="K16" s="15"/>
      <c r="L16" s="15"/>
      <c r="M16" s="7"/>
      <c r="N16" s="15"/>
      <c r="O16" s="15"/>
      <c r="P16" s="15"/>
      <c r="Q16" s="15"/>
      <c r="R16" s="15"/>
      <c r="S16" s="7"/>
      <c r="T16" s="15"/>
      <c r="U16" s="15"/>
      <c r="V16" s="15"/>
      <c r="W16" s="15"/>
      <c r="X16" s="15"/>
    </row>
    <row r="17" spans="1:24" ht="15" x14ac:dyDescent="0.35">
      <c r="A17" s="7" t="s">
        <v>65</v>
      </c>
      <c r="B17" s="15">
        <v>0</v>
      </c>
      <c r="C17" s="15"/>
      <c r="D17" s="15">
        <v>159341000</v>
      </c>
      <c r="E17" s="15"/>
      <c r="F17" s="15">
        <v>159341000</v>
      </c>
      <c r="G17" s="7"/>
      <c r="H17" s="15">
        <v>0</v>
      </c>
      <c r="I17" s="15"/>
      <c r="J17" s="15">
        <v>157668000</v>
      </c>
      <c r="K17" s="15"/>
      <c r="L17" s="15">
        <v>157668000</v>
      </c>
      <c r="M17" s="7"/>
      <c r="N17" s="15">
        <v>0</v>
      </c>
      <c r="O17" s="15"/>
      <c r="P17" s="15">
        <v>160578000</v>
      </c>
      <c r="Q17" s="15"/>
      <c r="R17" s="15">
        <v>160578000</v>
      </c>
      <c r="S17" s="7"/>
      <c r="T17" s="15">
        <v>0</v>
      </c>
      <c r="U17" s="15"/>
      <c r="V17" s="15">
        <v>141739000</v>
      </c>
      <c r="W17" s="15"/>
      <c r="X17" s="15">
        <v>141739000</v>
      </c>
    </row>
    <row r="18" spans="1:24" ht="15" x14ac:dyDescent="0.35">
      <c r="A18" s="7" t="s">
        <v>52</v>
      </c>
      <c r="B18" s="15">
        <v>0</v>
      </c>
      <c r="C18" s="15"/>
      <c r="D18" s="15">
        <v>27596000</v>
      </c>
      <c r="E18" s="15"/>
      <c r="F18" s="15">
        <v>27596000</v>
      </c>
      <c r="G18" s="7"/>
      <c r="H18" s="15">
        <v>0</v>
      </c>
      <c r="I18" s="15"/>
      <c r="J18" s="15">
        <v>25192000</v>
      </c>
      <c r="K18" s="15"/>
      <c r="L18" s="15">
        <v>25192000</v>
      </c>
      <c r="M18" s="7"/>
      <c r="N18" s="15">
        <v>0</v>
      </c>
      <c r="O18" s="15"/>
      <c r="P18" s="15">
        <v>27543000</v>
      </c>
      <c r="Q18" s="15"/>
      <c r="R18" s="15">
        <v>27543000</v>
      </c>
      <c r="S18" s="7"/>
      <c r="T18" s="15">
        <v>0</v>
      </c>
      <c r="U18" s="15"/>
      <c r="V18" s="15">
        <v>28194000</v>
      </c>
      <c r="W18" s="15"/>
      <c r="X18" s="15">
        <v>28194000</v>
      </c>
    </row>
    <row r="19" spans="1:24" ht="15" x14ac:dyDescent="0.35">
      <c r="A19" s="7" t="s">
        <v>53</v>
      </c>
      <c r="B19" s="14">
        <v>73123000</v>
      </c>
      <c r="C19" s="15"/>
      <c r="D19" s="14">
        <v>185480000</v>
      </c>
      <c r="E19" s="15"/>
      <c r="F19" s="14">
        <v>258603000</v>
      </c>
      <c r="G19" s="7"/>
      <c r="H19" s="14">
        <v>64919000</v>
      </c>
      <c r="I19" s="15"/>
      <c r="J19" s="14">
        <v>181481000</v>
      </c>
      <c r="K19" s="15"/>
      <c r="L19" s="14">
        <v>246400000</v>
      </c>
      <c r="M19" s="7"/>
      <c r="N19" s="14">
        <v>63153000</v>
      </c>
      <c r="O19" s="15"/>
      <c r="P19" s="14">
        <v>186821000</v>
      </c>
      <c r="Q19" s="15"/>
      <c r="R19" s="14">
        <v>249974000</v>
      </c>
      <c r="S19" s="7"/>
      <c r="T19" s="14">
        <v>68055000</v>
      </c>
      <c r="U19" s="15"/>
      <c r="V19" s="14">
        <v>165359000</v>
      </c>
      <c r="W19" s="15"/>
      <c r="X19" s="14">
        <v>233414000</v>
      </c>
    </row>
    <row r="20" spans="1:24" ht="15" x14ac:dyDescent="0.35">
      <c r="A20" s="7"/>
      <c r="B20" s="24"/>
      <c r="C20" s="24"/>
      <c r="D20" s="15"/>
      <c r="E20" s="15"/>
      <c r="F20" s="15"/>
      <c r="G20" s="7"/>
      <c r="H20" s="24"/>
      <c r="I20" s="24"/>
      <c r="J20" s="15"/>
      <c r="K20" s="15"/>
      <c r="L20" s="15"/>
      <c r="M20" s="7"/>
      <c r="N20" s="24"/>
      <c r="O20" s="24"/>
      <c r="P20" s="15"/>
      <c r="Q20" s="15"/>
      <c r="R20" s="15"/>
      <c r="S20" s="7"/>
      <c r="T20" s="15"/>
      <c r="U20" s="15"/>
      <c r="V20" s="15"/>
      <c r="W20" s="15"/>
      <c r="X20" s="15"/>
    </row>
    <row r="21" spans="1:24" ht="15" x14ac:dyDescent="0.35">
      <c r="A21" s="7" t="s">
        <v>67</v>
      </c>
      <c r="B21" s="39">
        <v>-141000</v>
      </c>
      <c r="C21" s="24"/>
      <c r="D21" s="21">
        <v>-3573000</v>
      </c>
      <c r="E21" s="15"/>
      <c r="F21" s="21">
        <v>-3714000</v>
      </c>
      <c r="G21" s="7"/>
      <c r="H21" s="39">
        <v>10995000</v>
      </c>
      <c r="I21" s="24"/>
      <c r="J21" s="21">
        <v>-3055000</v>
      </c>
      <c r="K21" s="15"/>
      <c r="L21" s="21">
        <v>7940000</v>
      </c>
      <c r="M21" s="7"/>
      <c r="N21" s="39">
        <v>8044000</v>
      </c>
      <c r="O21" s="24"/>
      <c r="P21" s="21">
        <v>-3769000</v>
      </c>
      <c r="Q21" s="15"/>
      <c r="R21" s="21">
        <v>4275000</v>
      </c>
      <c r="S21" s="7"/>
      <c r="T21" s="21">
        <v>6656000</v>
      </c>
      <c r="U21" s="15"/>
      <c r="V21" s="21">
        <v>-4033000</v>
      </c>
      <c r="W21" s="15"/>
      <c r="X21" s="21">
        <v>2623000</v>
      </c>
    </row>
    <row r="22" spans="1:24" ht="15" x14ac:dyDescent="0.35">
      <c r="A22" s="7" t="s">
        <v>68</v>
      </c>
      <c r="B22" s="24">
        <v>0</v>
      </c>
      <c r="C22" s="24"/>
      <c r="D22" s="15">
        <v>76216000</v>
      </c>
      <c r="E22" s="15"/>
      <c r="F22" s="15">
        <v>76216000</v>
      </c>
      <c r="G22" s="7"/>
      <c r="H22" s="24">
        <v>0</v>
      </c>
      <c r="I22" s="24"/>
      <c r="J22" s="15">
        <v>74672000</v>
      </c>
      <c r="K22" s="15"/>
      <c r="L22" s="15">
        <v>74672000</v>
      </c>
      <c r="M22" s="7"/>
      <c r="N22" s="24">
        <v>0</v>
      </c>
      <c r="O22" s="24"/>
      <c r="P22" s="15">
        <v>70481000</v>
      </c>
      <c r="Q22" s="15"/>
      <c r="R22" s="15">
        <v>70481000</v>
      </c>
      <c r="S22" s="7"/>
      <c r="T22" s="15">
        <v>0</v>
      </c>
      <c r="U22" s="15"/>
      <c r="V22" s="15">
        <v>63395000</v>
      </c>
      <c r="W22" s="15"/>
      <c r="X22" s="15">
        <v>63395000</v>
      </c>
    </row>
    <row r="23" spans="1:24" ht="15" x14ac:dyDescent="0.35">
      <c r="A23" s="7" t="s">
        <v>69</v>
      </c>
      <c r="B23" s="24">
        <v>-141000</v>
      </c>
      <c r="C23" s="24"/>
      <c r="D23" s="15">
        <v>72643000</v>
      </c>
      <c r="E23" s="15"/>
      <c r="F23" s="15">
        <v>72502000</v>
      </c>
      <c r="G23" s="7"/>
      <c r="H23" s="24">
        <v>10995000</v>
      </c>
      <c r="I23" s="24"/>
      <c r="J23" s="15">
        <v>71617000</v>
      </c>
      <c r="K23" s="15"/>
      <c r="L23" s="15">
        <v>82612000</v>
      </c>
      <c r="M23" s="7"/>
      <c r="N23" s="24">
        <v>8044000</v>
      </c>
      <c r="O23" s="24"/>
      <c r="P23" s="15">
        <v>66712000</v>
      </c>
      <c r="Q23" s="15"/>
      <c r="R23" s="15">
        <v>74756000</v>
      </c>
      <c r="S23" s="7"/>
      <c r="T23" s="15">
        <v>6656000</v>
      </c>
      <c r="U23" s="15"/>
      <c r="V23" s="15">
        <v>59362000</v>
      </c>
      <c r="W23" s="15"/>
      <c r="X23" s="15">
        <v>66018000</v>
      </c>
    </row>
    <row r="24" spans="1:24" ht="15.6" thickBot="1" x14ac:dyDescent="0.4">
      <c r="A24" s="7" t="s">
        <v>70</v>
      </c>
      <c r="B24" s="33">
        <v>72982000</v>
      </c>
      <c r="C24" s="24"/>
      <c r="D24" s="38">
        <v>258123000</v>
      </c>
      <c r="E24" s="15"/>
      <c r="F24" s="38">
        <v>331105000</v>
      </c>
      <c r="G24" s="7"/>
      <c r="H24" s="33">
        <v>75914000</v>
      </c>
      <c r="I24" s="24"/>
      <c r="J24" s="38">
        <v>253098000</v>
      </c>
      <c r="K24" s="15"/>
      <c r="L24" s="38">
        <v>329012000</v>
      </c>
      <c r="M24" s="7"/>
      <c r="N24" s="33">
        <v>71197000</v>
      </c>
      <c r="O24" s="24"/>
      <c r="P24" s="38">
        <v>253533000</v>
      </c>
      <c r="Q24" s="15"/>
      <c r="R24" s="38">
        <v>324730000</v>
      </c>
      <c r="S24" s="7"/>
      <c r="T24" s="38">
        <v>74711000</v>
      </c>
      <c r="U24" s="15"/>
      <c r="V24" s="38">
        <v>224721000</v>
      </c>
      <c r="W24" s="15"/>
      <c r="X24" s="38">
        <v>299432000</v>
      </c>
    </row>
    <row r="25" spans="1:24" ht="15.6" thickTop="1" x14ac:dyDescent="0.35">
      <c r="A25" s="7"/>
      <c r="B25" s="7"/>
      <c r="C25" s="7"/>
      <c r="D25" s="7"/>
      <c r="E25" s="7"/>
      <c r="F25" s="7"/>
      <c r="G25" s="7"/>
      <c r="H25" s="7"/>
      <c r="I25" s="7"/>
      <c r="J25" s="7"/>
      <c r="K25" s="7"/>
      <c r="L25" s="7"/>
      <c r="M25" s="7"/>
      <c r="N25" s="7"/>
      <c r="O25" s="7"/>
      <c r="P25" s="7"/>
      <c r="Q25" s="7"/>
      <c r="R25" s="7"/>
      <c r="S25" s="7"/>
      <c r="T25" s="7"/>
      <c r="U25" s="7"/>
      <c r="V25" s="7"/>
      <c r="W25" s="7"/>
      <c r="X25" s="7"/>
    </row>
    <row r="26" spans="1:24" ht="15" x14ac:dyDescent="0.35">
      <c r="A26" s="7" t="s">
        <v>71</v>
      </c>
      <c r="B26" s="32">
        <f>+B19/B21</f>
        <v>-518.60283687943263</v>
      </c>
      <c r="C26" s="7"/>
      <c r="D26" s="32">
        <f>+D19/D21</f>
        <v>-51.911558914077808</v>
      </c>
      <c r="E26" s="7"/>
      <c r="F26" s="32">
        <f>+F19/F21</f>
        <v>-69.629240710823908</v>
      </c>
      <c r="G26" s="7"/>
      <c r="H26" s="32">
        <v>5.9044110959527059</v>
      </c>
      <c r="I26" s="7"/>
      <c r="J26" s="32">
        <v>-59.404582651391159</v>
      </c>
      <c r="K26" s="7"/>
      <c r="L26" s="32">
        <v>31.032745591939548</v>
      </c>
      <c r="M26" s="7"/>
      <c r="N26" s="32">
        <v>7.8509448035803082</v>
      </c>
      <c r="O26" s="7"/>
      <c r="P26" s="32">
        <v>-49.567789864685594</v>
      </c>
      <c r="Q26" s="7"/>
      <c r="R26" s="32">
        <v>58.473450292397658</v>
      </c>
      <c r="S26" s="7"/>
      <c r="T26" s="32">
        <v>10.224609375</v>
      </c>
      <c r="U26" s="7"/>
      <c r="V26" s="32">
        <v>-41.001487726258368</v>
      </c>
      <c r="W26" s="7"/>
      <c r="X26" s="32">
        <v>88.98741898589401</v>
      </c>
    </row>
    <row r="27" spans="1:24" ht="15" x14ac:dyDescent="0.35">
      <c r="A27" s="7" t="s">
        <v>72</v>
      </c>
      <c r="B27" s="32">
        <f>+B19/B11</f>
        <v>1.0019319832287414</v>
      </c>
      <c r="C27" s="7"/>
      <c r="D27" s="32">
        <f>+D19/D11</f>
        <v>0.7185721535856936</v>
      </c>
      <c r="E27" s="7"/>
      <c r="F27" s="32">
        <f>+F19/F11</f>
        <v>0.78103018679874969</v>
      </c>
      <c r="G27" s="7"/>
      <c r="H27" s="32">
        <v>0.85516505519403541</v>
      </c>
      <c r="I27" s="7"/>
      <c r="J27" s="32">
        <v>0.7170384594109791</v>
      </c>
      <c r="K27" s="7"/>
      <c r="L27" s="32">
        <v>0.7489088543882898</v>
      </c>
      <c r="M27" s="7"/>
      <c r="N27" s="32">
        <v>0.88701771142042507</v>
      </c>
      <c r="O27" s="7"/>
      <c r="P27" s="32">
        <v>0.73687054545167685</v>
      </c>
      <c r="Q27" s="7"/>
      <c r="R27" s="32">
        <v>0.76979028731561605</v>
      </c>
      <c r="S27" s="7"/>
      <c r="T27" s="32">
        <v>0.9109100400208805</v>
      </c>
      <c r="U27" s="7"/>
      <c r="V27" s="32">
        <v>0.73584133214074343</v>
      </c>
      <c r="W27" s="7"/>
      <c r="X27" s="32">
        <v>0.77952256271874754</v>
      </c>
    </row>
  </sheetData>
  <mergeCells count="4">
    <mergeCell ref="B1:F1"/>
    <mergeCell ref="H1:L1"/>
    <mergeCell ref="N1:R1"/>
    <mergeCell ref="T1:X1"/>
  </mergeCells>
  <conditionalFormatting sqref="A4:X11 A14:X19 A21:X24 A26:X27">
    <cfRule type="expression" dxfId="14" priority="1">
      <formula>MOD(ROW(),2)=0</formula>
    </cfRule>
  </conditionalFormatting>
  <pageMargins left="0.7" right="0.7" top="0.75" bottom="0.7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668BDE3E0F5B4D9C2D4DCD43CF99C7" ma:contentTypeVersion="23" ma:contentTypeDescription="Create a new document." ma:contentTypeScope="" ma:versionID="507b8fa67304e1fdf8e14a62b3b3de90">
  <xsd:schema xmlns:xsd="http://www.w3.org/2001/XMLSchema" xmlns:xs="http://www.w3.org/2001/XMLSchema" xmlns:p="http://schemas.microsoft.com/office/2006/metadata/properties" xmlns:ns2="66198de4-4fd6-46a3-93cc-2963cd6ccd90" xmlns:ns3="07474e3a-36f0-4e53-ad02-f0ed39633095" targetNamespace="http://schemas.microsoft.com/office/2006/metadata/properties" ma:root="true" ma:fieldsID="d64530b2502361221c33fc680d0815b3" ns2:_="" ns3:_="">
    <xsd:import namespace="66198de4-4fd6-46a3-93cc-2963cd6ccd90"/>
    <xsd:import namespace="07474e3a-36f0-4e53-ad02-f0ed39633095"/>
    <xsd:element name="properties">
      <xsd:complexType>
        <xsd:sequence>
          <xsd:element name="documentManagement">
            <xsd:complexType>
              <xsd:all>
                <xsd:element ref="ns2:MediaServiceMetadata" minOccurs="0"/>
                <xsd:element ref="ns2:MediaServiceFastMetadata" minOccurs="0"/>
                <xsd:element ref="ns2:Final" minOccurs="0"/>
                <xsd:element ref="ns2:ReadyForReview" minOccurs="0"/>
                <xsd:element ref="ns2:thcz" minOccurs="0"/>
                <xsd:element ref="ns2:mv4c" minOccurs="0"/>
                <xsd:element ref="ns2:_x0061_pw1" minOccurs="0"/>
                <xsd:element ref="ns2:_x0076_i87"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98de4-4fd6-46a3-93cc-2963cd6ccd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nal" ma:index="10" nillable="true" ma:displayName="Final" ma:default="0" ma:format="Dropdown" ma:internalName="Final">
      <xsd:simpleType>
        <xsd:restriction base="dms:Boolean"/>
      </xsd:simpleType>
    </xsd:element>
    <xsd:element name="ReadyForReview" ma:index="11" nillable="true" ma:displayName="Ready For Review" ma:default="0" ma:format="Dropdown" ma:internalName="ReadyForReview">
      <xsd:simpleType>
        <xsd:restriction base="dms:Boolean"/>
      </xsd:simpleType>
    </xsd:element>
    <xsd:element name="thcz" ma:index="12" nillable="true" ma:displayName="Sent to Auditors" ma:internalName="thcz">
      <xsd:simpleType>
        <xsd:restriction base="dms:Text"/>
      </xsd:simpleType>
    </xsd:element>
    <xsd:element name="mv4c" ma:index="13" nillable="true" ma:displayName="Draft" ma:internalName="mv4c">
      <xsd:simpleType>
        <xsd:restriction base="dms:Text"/>
      </xsd:simpleType>
    </xsd:element>
    <xsd:element name="_x0061_pw1" ma:index="14" nillable="true" ma:displayName="WB" ma:internalName="_x0061_pw1">
      <xsd:simpleType>
        <xsd:restriction base="dms:Text"/>
      </xsd:simpleType>
    </xsd:element>
    <xsd:element name="_x0076_i87" ma:index="15" nillable="true" ma:displayName="Filed" ma:internalName="_x0076_i87">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a306ba1-4b59-4585-b6a4-c8c90a35a8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474e3a-36f0-4e53-ad02-f0ed3963309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c73cdfd-0213-40f5-91ef-b93e16449103}" ma:internalName="TaxCatchAll" ma:showField="CatchAllData" ma:web="07474e3a-36f0-4e53-ad02-f0ed3963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nal xmlns="66198de4-4fd6-46a3-93cc-2963cd6ccd90">false</Final>
    <ReadyForReview xmlns="66198de4-4fd6-46a3-93cc-2963cd6ccd90">false</ReadyForReview>
    <mv4c xmlns="66198de4-4fd6-46a3-93cc-2963cd6ccd90" xsi:nil="true"/>
    <thcz xmlns="66198de4-4fd6-46a3-93cc-2963cd6ccd90" xsi:nil="true"/>
    <_x0076_i87 xmlns="66198de4-4fd6-46a3-93cc-2963cd6ccd90" xsi:nil="true"/>
    <_x0061_pw1 xmlns="66198de4-4fd6-46a3-93cc-2963cd6ccd90" xsi:nil="true"/>
    <lcf76f155ced4ddcb4097134ff3c332f xmlns="66198de4-4fd6-46a3-93cc-2963cd6ccd90">
      <Terms xmlns="http://schemas.microsoft.com/office/infopath/2007/PartnerControls"/>
    </lcf76f155ced4ddcb4097134ff3c332f>
    <TaxCatchAll xmlns="07474e3a-36f0-4e53-ad02-f0ed39633095" xsi:nil="true"/>
  </documentManagement>
</p:properties>
</file>

<file path=customXml/itemProps1.xml><?xml version="1.0" encoding="utf-8"?>
<ds:datastoreItem xmlns:ds="http://schemas.openxmlformats.org/officeDocument/2006/customXml" ds:itemID="{F35E95E2-F7FC-4752-AEBD-0F09C8EA1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98de4-4fd6-46a3-93cc-2963cd6ccd90"/>
    <ds:schemaRef ds:uri="07474e3a-36f0-4e53-ad02-f0ed3963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5DF7DB-4920-4150-80D4-68FD0A03933B}">
  <ds:schemaRefs>
    <ds:schemaRef ds:uri="http://schemas.microsoft.com/sharepoint/v3/contenttype/forms"/>
  </ds:schemaRefs>
</ds:datastoreItem>
</file>

<file path=customXml/itemProps3.xml><?xml version="1.0" encoding="utf-8"?>
<ds:datastoreItem xmlns:ds="http://schemas.openxmlformats.org/officeDocument/2006/customXml" ds:itemID="{984D4049-2FDA-4492-A794-7E13E81DFF9E}">
  <ds:schemaRefs>
    <ds:schemaRef ds:uri="66198de4-4fd6-46a3-93cc-2963cd6ccd90"/>
    <ds:schemaRef ds:uri="http://schemas.microsoft.com/office/2006/documentManagement/types"/>
    <ds:schemaRef ds:uri="http://purl.org/dc/dcmitype/"/>
    <ds:schemaRef ds:uri="07474e3a-36f0-4e53-ad02-f0ed3963309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Overview</vt:lpstr>
      <vt:lpstr>IS - Annual</vt:lpstr>
      <vt:lpstr>Annual Chart</vt:lpstr>
      <vt:lpstr>IS - Quarterly</vt:lpstr>
      <vt:lpstr>Quarterly Chart</vt:lpstr>
      <vt:lpstr>Balance Sheet</vt:lpstr>
      <vt:lpstr>BS Non-GAAP Recon&gt;&gt;&gt;</vt:lpstr>
      <vt:lpstr>BS 2019 to 2022</vt:lpstr>
      <vt:lpstr>BS 2023 Quarterly</vt:lpstr>
      <vt:lpstr>BS 2024 Quarterly</vt:lpstr>
      <vt:lpstr>BS 2025 Quarterly</vt:lpstr>
      <vt:lpstr>IS Non-GAAP Recon&gt;&gt;&gt;</vt:lpstr>
      <vt:lpstr>EBITDA</vt:lpstr>
      <vt:lpstr>IS 2019 to 2021</vt:lpstr>
      <vt:lpstr>IS 2022 to 2023</vt:lpstr>
      <vt:lpstr>IS 2023 Quarterly</vt:lpstr>
      <vt:lpstr>IS 2024 Quarterly</vt:lpstr>
      <vt:lpstr>IS 2025 Quarterly</vt:lpstr>
      <vt:lpstr>'Annual Chart'!Print_Area</vt:lpstr>
      <vt:lpstr>'Balance Sheet'!Print_Area</vt:lpstr>
      <vt:lpstr>EBITDA!Print_Area</vt:lpstr>
      <vt:lpstr>'IS - Annual'!Print_Area</vt:lpstr>
      <vt:lpstr>'IS - Quarterly'!Print_Area</vt:lpstr>
      <vt:lpstr>'IS 2019 to 2021'!Print_Area</vt:lpstr>
      <vt:lpstr>'IS 2022 to 2023'!Print_Area</vt:lpstr>
      <vt:lpstr>'Quarterly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Leung</dc:creator>
  <cp:keywords/>
  <dc:description/>
  <cp:lastModifiedBy>Jennifer Martin</cp:lastModifiedBy>
  <cp:revision/>
  <cp:lastPrinted>2025-11-13T18:55:41Z</cp:lastPrinted>
  <dcterms:created xsi:type="dcterms:W3CDTF">2024-10-31T18:29:42Z</dcterms:created>
  <dcterms:modified xsi:type="dcterms:W3CDTF">2025-11-13T18:55:45Z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0x010100A1668BDE3E0F5B4D9C2D4DCD43CF99C7</vt:lpwstr>
  </property>
  <property fmtid="{D5CDD505-2E9C-101B-9397-08002B2CF9AE}" pid="3" name="MediaServiceImageTags">
    <vt:lpwstr/>
  </property>
</Properties>
</file>